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/>
  </bookViews>
  <sheets>
    <sheet name="Zał.1_WPF_bazowy" sheetId="1" r:id="rId1"/>
  </sheets>
  <externalReferences>
    <externalReference r:id="rId2"/>
  </externalReferences>
  <definedNames>
    <definedName name="_xlnm._FilterDatabase" localSheetId="0" hidden="1">Zał.1_WPF_bazowy!$A$9:$A$104</definedName>
    <definedName name="_xlnm.Print_Area" localSheetId="0">Zał.1_WPF_bazowy!$B$8:$L$104</definedName>
    <definedName name="_xlnm.Print_Titles" localSheetId="0">Zał.1_WPF_bazowy!$B:$D,Zał.1_WPF_bazowy!$8:$9</definedName>
  </definedNames>
  <calcPr calcId="125725"/>
</workbook>
</file>

<file path=xl/calcChain.xml><?xml version="1.0" encoding="utf-8"?>
<calcChain xmlns="http://schemas.openxmlformats.org/spreadsheetml/2006/main">
  <c r="J4" i="1"/>
  <c r="J5"/>
  <c r="J6"/>
  <c r="I8"/>
  <c r="I9"/>
  <c r="J9"/>
  <c r="K9"/>
  <c r="L9"/>
  <c r="E10"/>
  <c r="F10"/>
  <c r="G10"/>
  <c r="H10"/>
  <c r="I10"/>
  <c r="J10"/>
  <c r="K10"/>
  <c r="L10"/>
  <c r="E11"/>
  <c r="F11"/>
  <c r="G11"/>
  <c r="H11"/>
  <c r="I11"/>
  <c r="J11"/>
  <c r="K11"/>
  <c r="L11"/>
  <c r="E12"/>
  <c r="F12"/>
  <c r="G12"/>
  <c r="H12"/>
  <c r="I12"/>
  <c r="J12"/>
  <c r="K12"/>
  <c r="L12"/>
  <c r="E13"/>
  <c r="F13"/>
  <c r="G13"/>
  <c r="H13"/>
  <c r="I13"/>
  <c r="J13"/>
  <c r="K13"/>
  <c r="L13"/>
  <c r="E14"/>
  <c r="F14"/>
  <c r="G14"/>
  <c r="H14"/>
  <c r="I14"/>
  <c r="J14"/>
  <c r="K14"/>
  <c r="L14"/>
  <c r="E15"/>
  <c r="F15"/>
  <c r="G15"/>
  <c r="H15"/>
  <c r="I15"/>
  <c r="J15"/>
  <c r="K15"/>
  <c r="L15"/>
  <c r="E16"/>
  <c r="F16"/>
  <c r="G16"/>
  <c r="H16"/>
  <c r="I16"/>
  <c r="J16"/>
  <c r="K16"/>
  <c r="L16"/>
  <c r="E17"/>
  <c r="F17"/>
  <c r="G17"/>
  <c r="H17"/>
  <c r="I17"/>
  <c r="J17"/>
  <c r="K17"/>
  <c r="L17"/>
  <c r="E18"/>
  <c r="F18"/>
  <c r="G18"/>
  <c r="H18"/>
  <c r="I18"/>
  <c r="J18"/>
  <c r="K18"/>
  <c r="L18"/>
  <c r="E19"/>
  <c r="F19"/>
  <c r="G19"/>
  <c r="H19"/>
  <c r="I19"/>
  <c r="J19"/>
  <c r="K19"/>
  <c r="L19"/>
  <c r="E20"/>
  <c r="F20"/>
  <c r="G20"/>
  <c r="H20"/>
  <c r="I20"/>
  <c r="J20"/>
  <c r="K20"/>
  <c r="L20"/>
  <c r="E21"/>
  <c r="F21"/>
  <c r="G21"/>
  <c r="H21"/>
  <c r="I21"/>
  <c r="J21"/>
  <c r="K21"/>
  <c r="L21"/>
  <c r="E22"/>
  <c r="F22"/>
  <c r="G22"/>
  <c r="H22"/>
  <c r="I22"/>
  <c r="J22"/>
  <c r="K22"/>
  <c r="L22"/>
  <c r="E23"/>
  <c r="F23"/>
  <c r="G23"/>
  <c r="H23"/>
  <c r="I23"/>
  <c r="J23"/>
  <c r="K23"/>
  <c r="L23"/>
  <c r="E24"/>
  <c r="F24"/>
  <c r="G24"/>
  <c r="H24"/>
  <c r="I24"/>
  <c r="J24"/>
  <c r="K24"/>
  <c r="L24"/>
  <c r="I25"/>
  <c r="J25"/>
  <c r="K25"/>
  <c r="L25"/>
  <c r="E26"/>
  <c r="F26"/>
  <c r="G26"/>
  <c r="H26"/>
  <c r="I26"/>
  <c r="J26"/>
  <c r="K26"/>
  <c r="L26"/>
  <c r="E27"/>
  <c r="F27"/>
  <c r="G27"/>
  <c r="H27"/>
  <c r="I27"/>
  <c r="J27"/>
  <c r="K27"/>
  <c r="L27"/>
  <c r="E28"/>
  <c r="F28"/>
  <c r="G28"/>
  <c r="H28"/>
  <c r="I28"/>
  <c r="J28"/>
  <c r="K28"/>
  <c r="L28"/>
  <c r="E29"/>
  <c r="F29"/>
  <c r="G29"/>
  <c r="H29"/>
  <c r="I29"/>
  <c r="J29"/>
  <c r="K29"/>
  <c r="L29"/>
  <c r="E30"/>
  <c r="F30"/>
  <c r="G30"/>
  <c r="H30"/>
  <c r="I30"/>
  <c r="J30"/>
  <c r="K30"/>
  <c r="L30"/>
  <c r="E31"/>
  <c r="F31"/>
  <c r="G31"/>
  <c r="H31"/>
  <c r="I31"/>
  <c r="J31"/>
  <c r="K31"/>
  <c r="L31"/>
  <c r="E32"/>
  <c r="F32"/>
  <c r="G32"/>
  <c r="H32"/>
  <c r="I32"/>
  <c r="J32"/>
  <c r="K32"/>
  <c r="L32"/>
  <c r="E33"/>
  <c r="F33"/>
  <c r="G33"/>
  <c r="H33"/>
  <c r="I33"/>
  <c r="J33"/>
  <c r="K33"/>
  <c r="L33"/>
  <c r="E34"/>
  <c r="F34"/>
  <c r="G34"/>
  <c r="H34"/>
  <c r="I34"/>
  <c r="J34"/>
  <c r="K34"/>
  <c r="L34"/>
  <c r="E35"/>
  <c r="F35"/>
  <c r="G35"/>
  <c r="H35"/>
  <c r="I35"/>
  <c r="J35"/>
  <c r="K35"/>
  <c r="L35"/>
  <c r="E36"/>
  <c r="F36"/>
  <c r="G36"/>
  <c r="H36"/>
  <c r="I36"/>
  <c r="J36"/>
  <c r="K36"/>
  <c r="L36"/>
  <c r="E37"/>
  <c r="F37"/>
  <c r="G37"/>
  <c r="H37"/>
  <c r="I37"/>
  <c r="J37"/>
  <c r="K37"/>
  <c r="L37"/>
  <c r="E38"/>
  <c r="F38"/>
  <c r="G38"/>
  <c r="H38"/>
  <c r="I38"/>
  <c r="J38"/>
  <c r="K38"/>
  <c r="L38"/>
  <c r="E39"/>
  <c r="F39"/>
  <c r="G39"/>
  <c r="H39"/>
  <c r="I39"/>
  <c r="J39"/>
  <c r="K39"/>
  <c r="L39"/>
  <c r="E40"/>
  <c r="F40"/>
  <c r="G40"/>
  <c r="H40"/>
  <c r="I40"/>
  <c r="J40"/>
  <c r="K40"/>
  <c r="L40"/>
  <c r="E41"/>
  <c r="F41"/>
  <c r="G41"/>
  <c r="H41"/>
  <c r="I41"/>
  <c r="J41"/>
  <c r="K41"/>
  <c r="L41"/>
  <c r="E42"/>
  <c r="F42"/>
  <c r="G42"/>
  <c r="H42"/>
  <c r="I42"/>
  <c r="J42"/>
  <c r="K42"/>
  <c r="L42"/>
  <c r="E43"/>
  <c r="F43"/>
  <c r="G43"/>
  <c r="H43"/>
  <c r="I43"/>
  <c r="J43"/>
  <c r="K43"/>
  <c r="L43"/>
  <c r="E44"/>
  <c r="F44"/>
  <c r="G44"/>
  <c r="H44"/>
  <c r="I44"/>
  <c r="J44"/>
  <c r="K44"/>
  <c r="L44"/>
  <c r="E45"/>
  <c r="F45"/>
  <c r="G45"/>
  <c r="H45"/>
  <c r="I45"/>
  <c r="J45"/>
  <c r="K45"/>
  <c r="L45"/>
  <c r="E46"/>
  <c r="F46"/>
  <c r="G46"/>
  <c r="H46"/>
  <c r="I46"/>
  <c r="J46"/>
  <c r="K46"/>
  <c r="L46"/>
  <c r="E47"/>
  <c r="F47"/>
  <c r="G47"/>
  <c r="H47"/>
  <c r="I47"/>
  <c r="J47"/>
  <c r="K47"/>
  <c r="L47"/>
  <c r="E48"/>
  <c r="F48"/>
  <c r="G48"/>
  <c r="H48"/>
  <c r="I48"/>
  <c r="J48"/>
  <c r="K48"/>
  <c r="L48"/>
  <c r="E49"/>
  <c r="F49"/>
  <c r="G49"/>
  <c r="H49"/>
  <c r="I49"/>
  <c r="J49"/>
  <c r="K49"/>
  <c r="L49"/>
  <c r="E51"/>
  <c r="F51"/>
  <c r="G51"/>
  <c r="H51"/>
  <c r="I51"/>
  <c r="J51"/>
  <c r="K51"/>
  <c r="L51"/>
  <c r="E52"/>
  <c r="F52"/>
  <c r="G52"/>
  <c r="H52"/>
  <c r="I52"/>
  <c r="J52"/>
  <c r="K52"/>
  <c r="L52"/>
  <c r="E54"/>
  <c r="F54"/>
  <c r="G54"/>
  <c r="H54"/>
  <c r="I54"/>
  <c r="J54"/>
  <c r="K54"/>
  <c r="L54"/>
  <c r="E55"/>
  <c r="F55"/>
  <c r="G55"/>
  <c r="H55"/>
  <c r="I55"/>
  <c r="J55"/>
  <c r="K55"/>
  <c r="L55"/>
  <c r="E56"/>
  <c r="F56"/>
  <c r="G56"/>
  <c r="H56"/>
  <c r="I56"/>
  <c r="J56"/>
  <c r="K56"/>
  <c r="L56"/>
  <c r="E57"/>
  <c r="F57"/>
  <c r="G57"/>
  <c r="H57"/>
  <c r="I57"/>
  <c r="J57"/>
  <c r="K57"/>
  <c r="L57"/>
  <c r="E58"/>
  <c r="F58"/>
  <c r="G58"/>
  <c r="H58"/>
  <c r="I58"/>
  <c r="J58"/>
  <c r="K58"/>
  <c r="L58"/>
  <c r="E59"/>
  <c r="F59"/>
  <c r="G59"/>
  <c r="H59"/>
  <c r="I59"/>
  <c r="J59"/>
  <c r="K59"/>
  <c r="L59"/>
  <c r="E60"/>
  <c r="F60"/>
  <c r="G60"/>
  <c r="H60"/>
  <c r="I60"/>
  <c r="J60"/>
  <c r="K60"/>
  <c r="L60"/>
  <c r="I61"/>
  <c r="J61"/>
  <c r="K61"/>
  <c r="L61"/>
  <c r="I62"/>
  <c r="J62"/>
  <c r="K62"/>
  <c r="L62"/>
  <c r="I63"/>
  <c r="J63"/>
  <c r="K63"/>
  <c r="L63"/>
  <c r="I64"/>
  <c r="J64"/>
  <c r="K64"/>
  <c r="L64"/>
  <c r="E65"/>
  <c r="F65"/>
  <c r="G65"/>
  <c r="H65"/>
  <c r="I65"/>
  <c r="J65"/>
  <c r="E66"/>
  <c r="F66"/>
  <c r="G66"/>
  <c r="H66"/>
  <c r="I66"/>
  <c r="J66"/>
  <c r="K66"/>
  <c r="L66"/>
  <c r="E68"/>
  <c r="F68"/>
  <c r="G68"/>
  <c r="H68"/>
  <c r="I68"/>
  <c r="J68"/>
  <c r="K68"/>
  <c r="L68"/>
  <c r="E69"/>
  <c r="F69"/>
  <c r="G69"/>
  <c r="H69"/>
  <c r="I69"/>
  <c r="J69"/>
  <c r="K69"/>
  <c r="L69"/>
  <c r="E70"/>
  <c r="F70"/>
  <c r="G70"/>
  <c r="H70"/>
  <c r="I70"/>
  <c r="J70"/>
  <c r="K70"/>
  <c r="L70"/>
  <c r="E71"/>
  <c r="F71"/>
  <c r="G71"/>
  <c r="H71"/>
  <c r="I71"/>
  <c r="J71"/>
  <c r="K71"/>
  <c r="L71"/>
  <c r="E72"/>
  <c r="F72"/>
  <c r="G72"/>
  <c r="H72"/>
  <c r="I72"/>
  <c r="J72"/>
  <c r="K72"/>
  <c r="L72"/>
  <c r="E73"/>
  <c r="F73"/>
  <c r="G73"/>
  <c r="H73"/>
  <c r="I73"/>
  <c r="J73"/>
  <c r="K73"/>
  <c r="L73"/>
  <c r="E74"/>
  <c r="F74"/>
  <c r="G74"/>
  <c r="H74"/>
  <c r="I74"/>
  <c r="J74"/>
  <c r="K74"/>
  <c r="L74"/>
  <c r="E75"/>
  <c r="F75"/>
  <c r="G75"/>
  <c r="H75"/>
  <c r="I75"/>
  <c r="J75"/>
  <c r="K75"/>
  <c r="L75"/>
  <c r="E77"/>
  <c r="F77"/>
  <c r="G77"/>
  <c r="H77"/>
  <c r="I77"/>
  <c r="J77"/>
  <c r="K77"/>
  <c r="L77"/>
  <c r="E78"/>
  <c r="F78"/>
  <c r="G78"/>
  <c r="H78"/>
  <c r="I78"/>
  <c r="J78"/>
  <c r="K78"/>
  <c r="L78"/>
  <c r="E79"/>
  <c r="F79"/>
  <c r="G79"/>
  <c r="H79"/>
  <c r="I79"/>
  <c r="J79"/>
  <c r="K79"/>
  <c r="L79"/>
  <c r="E80"/>
  <c r="F80"/>
  <c r="G80"/>
  <c r="H80"/>
  <c r="I80"/>
  <c r="J80"/>
  <c r="K80"/>
  <c r="L80"/>
  <c r="E81"/>
  <c r="F81"/>
  <c r="G81"/>
  <c r="H81"/>
  <c r="I81"/>
  <c r="J81"/>
  <c r="K81"/>
  <c r="L81"/>
  <c r="E82"/>
  <c r="F82"/>
  <c r="G82"/>
  <c r="H82"/>
  <c r="I82"/>
  <c r="J82"/>
  <c r="K82"/>
  <c r="L82"/>
  <c r="E83"/>
  <c r="F83"/>
  <c r="G83"/>
  <c r="H83"/>
  <c r="I83"/>
  <c r="J83"/>
  <c r="K83"/>
  <c r="L83"/>
  <c r="E84"/>
  <c r="F84"/>
  <c r="G84"/>
  <c r="H84"/>
  <c r="I84"/>
  <c r="J84"/>
  <c r="K84"/>
  <c r="L84"/>
  <c r="E85"/>
  <c r="F85"/>
  <c r="G85"/>
  <c r="H85"/>
  <c r="I85"/>
  <c r="J85"/>
  <c r="K85"/>
  <c r="L85"/>
  <c r="E86"/>
  <c r="F86"/>
  <c r="G86"/>
  <c r="H86"/>
  <c r="I86"/>
  <c r="J86"/>
  <c r="K86"/>
  <c r="L86"/>
  <c r="E87"/>
  <c r="F87"/>
  <c r="G87"/>
  <c r="H87"/>
  <c r="I87"/>
  <c r="J87"/>
  <c r="K87"/>
  <c r="L87"/>
  <c r="E88"/>
  <c r="F88"/>
  <c r="G88"/>
  <c r="H88"/>
  <c r="I88"/>
  <c r="J88"/>
  <c r="K88"/>
  <c r="L88"/>
  <c r="E90"/>
  <c r="F90"/>
  <c r="G90"/>
  <c r="H90"/>
  <c r="I90"/>
  <c r="J90"/>
  <c r="K90"/>
  <c r="L90"/>
  <c r="E91"/>
  <c r="F91"/>
  <c r="G91"/>
  <c r="H91"/>
  <c r="I91"/>
  <c r="J91"/>
  <c r="K91"/>
  <c r="L91"/>
  <c r="E92"/>
  <c r="F92"/>
  <c r="G92"/>
  <c r="H92"/>
  <c r="I92"/>
  <c r="J92"/>
  <c r="K92"/>
  <c r="L92"/>
  <c r="E93"/>
  <c r="F93"/>
  <c r="G93"/>
  <c r="H93"/>
  <c r="I93"/>
  <c r="J93"/>
  <c r="K93"/>
  <c r="L93"/>
  <c r="E94"/>
  <c r="F94"/>
  <c r="G94"/>
  <c r="H94"/>
  <c r="I94"/>
  <c r="J94"/>
  <c r="K94"/>
  <c r="L94"/>
  <c r="E95"/>
  <c r="F95"/>
  <c r="G95"/>
  <c r="H95"/>
  <c r="I95"/>
  <c r="J95"/>
  <c r="K95"/>
  <c r="L95"/>
  <c r="E96"/>
  <c r="F96"/>
  <c r="G96"/>
  <c r="H96"/>
  <c r="I96"/>
  <c r="J96"/>
  <c r="K96"/>
  <c r="L96"/>
  <c r="E98"/>
  <c r="F98"/>
  <c r="G98"/>
  <c r="H98"/>
  <c r="I98"/>
  <c r="J98"/>
  <c r="K98"/>
  <c r="L98"/>
  <c r="E99"/>
  <c r="F99"/>
  <c r="G99"/>
  <c r="H99"/>
  <c r="I99"/>
  <c r="J99"/>
  <c r="K99"/>
  <c r="L99"/>
  <c r="E100"/>
  <c r="F100"/>
  <c r="G100"/>
  <c r="H100"/>
  <c r="I100"/>
  <c r="J100"/>
  <c r="K100"/>
  <c r="L100"/>
  <c r="E101"/>
  <c r="F101"/>
  <c r="G101"/>
  <c r="H101"/>
  <c r="I101"/>
  <c r="J101"/>
  <c r="K101"/>
  <c r="L101"/>
  <c r="E102"/>
  <c r="F102"/>
  <c r="G102"/>
  <c r="H102"/>
  <c r="I102"/>
  <c r="J102"/>
  <c r="K102"/>
  <c r="L102"/>
  <c r="E103"/>
  <c r="F103"/>
  <c r="G103"/>
  <c r="H103"/>
  <c r="I103"/>
  <c r="J103"/>
  <c r="K103"/>
  <c r="L103"/>
  <c r="E104"/>
  <c r="F104"/>
  <c r="G104"/>
  <c r="H104"/>
  <c r="I104"/>
  <c r="J104"/>
  <c r="K104"/>
  <c r="L104"/>
</calcChain>
</file>

<file path=xl/sharedStrings.xml><?xml version="1.0" encoding="utf-8"?>
<sst xmlns="http://schemas.openxmlformats.org/spreadsheetml/2006/main" count="308" uniqueCount="189">
  <si>
    <t>Zestawienie wygenerowane na podstawie danych wprowadzonych do systemu BESTI@</t>
  </si>
  <si>
    <t>Układ WPF wg Rozporządzenia Ministra Finansów z dnia 10.01.2013 (Dz.U. z 2013 r., poz. 86)</t>
  </si>
  <si>
    <t>Tabela WPF jest ZABLOKOWANA do edycji. Do szacowania i analizy służy arkusz "WPF_AnalizaWsk_Projektowanie"</t>
  </si>
  <si>
    <t>Nr Uchwały:</t>
  </si>
  <si>
    <t>Nazwa JST:</t>
  </si>
  <si>
    <t>[N-3]</t>
  </si>
  <si>
    <t>[N-2]</t>
  </si>
  <si>
    <t>[N-1]pl3kw</t>
  </si>
  <si>
    <t>[N-1]wyk</t>
  </si>
  <si>
    <t>WPF za lata:</t>
  </si>
  <si>
    <t xml:space="preserve">Wykonanie </t>
  </si>
  <si>
    <t>Plan 3 kw.</t>
  </si>
  <si>
    <t>X</t>
  </si>
  <si>
    <t>Lp.</t>
  </si>
  <si>
    <t>Wyszczególnienie</t>
  </si>
  <si>
    <t>2010</t>
  </si>
  <si>
    <t>2011</t>
  </si>
  <si>
    <t>2012</t>
  </si>
  <si>
    <t>x</t>
  </si>
  <si>
    <t>Dochody ogółem</t>
  </si>
  <si>
    <t>1.1</t>
  </si>
  <si>
    <t>Dochody bieżące, w tym: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</si>
  <si>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</si>
  <si>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</si>
  <si>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</si>
  <si>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</si>
  <si>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</si>
  <si>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opłaty, w tym: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</si>
  <si>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</si>
  <si>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</si>
  <si>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</si>
  <si>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</si>
  <si>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</si>
  <si>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</si>
  <si>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</si>
  <si>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</si>
  <si>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</si>
  <si>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</si>
  <si>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</si>
  <si>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</si>
  <si>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</si>
  <si>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</si>
  <si>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</si>
  <si>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</si>
  <si>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gwarancji, w tym:</t>
  </si>
  <si>
    <t>2.1.1.1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</si>
  <si>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</t>
  </si>
  <si>
    <t>2.1.2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</si>
  <si>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</si>
  <si>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2.1.3</t>
  </si>
  <si>
    <t>wydatki na obsługę długu, w tym:</t>
  </si>
  <si>
    <t>2.1.3.1</t>
  </si>
  <si>
    <t>odsetki i dyskonto określone w art. 243 ust. 1 ustawy lub art. 169 ust. 1 ufp z 2005 r..</t>
  </si>
  <si>
    <t>2.2</t>
  </si>
  <si>
    <t>Wydatki majątkowe</t>
  </si>
  <si>
    <t>Wynik budżetu</t>
  </si>
  <si>
    <t>Przychody budżetu</t>
  </si>
  <si>
    <t>4.1</t>
  </si>
  <si>
    <t>Nadwyżka budżetowa z lat ubiegłych, w tym:</t>
  </si>
  <si>
    <t>4.1.1</t>
  </si>
  <si>
    <t>na pokrycie deficytu budżetu</t>
  </si>
  <si>
    <t>4.2</t>
  </si>
  <si>
    <t>Wolne środki, o których mowa w art. 217 ust.2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</si>
  <si>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</si>
  <si>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</si>
  <si>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</si>
  <si>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</si>
  <si>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</si>
  <si>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długu, w tym:</t>
  </si>
  <si>
    <t>4.4.1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</si>
  <si>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</si>
  <si>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</si>
  <si>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</si>
  <si>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</si>
  <si>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</t>
  </si>
  <si>
    <t>5.1.1.1</t>
  </si>
  <si>
    <t>kwota przypadających na dany rok kwot wyłączeń określonych w art. 243 ust. 3 pkt 1 ustawy lub art. 169 ust. 3 pkt 1 ufp z 2005 r.</t>
  </si>
  <si>
    <t>5.2</t>
  </si>
  <si>
    <t>Inne rozchody niezwiązane ze spłatą długu</t>
  </si>
  <si>
    <t>Kwota długu</t>
  </si>
  <si>
    <t>6.1</t>
  </si>
  <si>
    <t xml:space="preserve">Łączna kwota wyłączeń z ograniczeń długu określonych w art. 170 ust. 3 ufp z 2005 r. oraz w art. 36 ustawy o zmianie niektórych ustaw związanych z realizacją ustawy budżetowej, w tym: </t>
  </si>
  <si>
    <t>6.1.1</t>
  </si>
  <si>
    <t xml:space="preserve">kwota wyłączeń z ograniczeń długu określonych w art. 170 ust. 3 ufp z 2005 r. </t>
  </si>
  <si>
    <t>6.2</t>
  </si>
  <si>
    <t>Wskaźnik zadłużenia do dochodów ogółem określony w art. 170 ufp z 2005 r., bez uwzględniania wyłączeń określonych w pkt 6.1.</t>
  </si>
  <si>
    <t>6.3</t>
  </si>
  <si>
    <t xml:space="preserve">Wskaźnik zadłużenia do dochodów ogółem, o którym mowa w art. 170 ufp z 2005 r., po uwzględnieniu wyłączeń określonych w pkt 6.1. </t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</si>
  <si>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</si>
  <si>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</si>
  <si>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8.1</t>
  </si>
  <si>
    <t>Różnica między dochodami bieżącymi a wydatkami bieżącymi</t>
  </si>
  <si>
    <t>8.2</t>
  </si>
  <si>
    <t>Różnica między dochodami bieżącymi, powiększonymi o nadwyżkę budżetową określoną w pkt 4.1. i wolne środki określone w pkt 4.2. a wydatkami bieżącymi, pomniejszonym o wydatki określone w pkt 2.1.2.</t>
  </si>
  <si>
    <t>Wskaźnik spłaty zobowiązań</t>
  </si>
  <si>
    <t>9.1</t>
  </si>
  <si>
    <t xml:space="preserve">Wskaźnik planowanej łącznej kwoty spłaty zobowiązań, o której mowa w art. 169 ust. 1 ufp z 2005 r. do dochodów ogółem, bez uwzględnienia wyłączeń określonych w pkt 5.1.1. </t>
  </si>
  <si>
    <t>9.2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</si>
  <si>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</si>
  <si>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>9.3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</si>
  <si>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</t>
  </si>
  <si>
    <t>9.4</t>
  </si>
  <si>
    <t>Wskaźnik planowanej łącznej kwoty spłaty zobowiązań, o której mowa w art. 243 ust. 1 ustawy do dochodów ogółem, bez uwzględnienia zobowiązań związku współtworzonego przez jednostkę samorządu terytorialnego, po uwzględnieniu wyłączeń przypadających na dany</t>
  </si>
  <si>
    <t>9.5</t>
  </si>
  <si>
    <t xml:space="preserve">Kwota zobowiązań związku współtworzonego przez jednostkę samorządu terytorialnego przypadających do spłaty w danym roku budżetowym, podlegająca doliczeniu zgodnie z art. 244 ustawy </t>
  </si>
  <si>
    <t>9.6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</si>
  <si>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</t>
  </si>
  <si>
    <t>9.6.1</t>
  </si>
  <si>
    <t>Wskaźnik jednoroczny (prawa strona wzoru z art. 243)</t>
  </si>
  <si>
    <t>9.7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</si>
  <si>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</t>
  </si>
  <si>
    <t>9.7.1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</si>
  <si>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</t>
  </si>
  <si>
    <t>9.8</t>
  </si>
  <si>
    <t xml:space="preserve">Informacja o spełnieniu wskaźnika spłaty zobowiązań określonego w art. 243 ustawy, po uwzględnieniu zobowiązań związku współtworzonego przez jednostkę samorządu terytorialnego oraz po uwzględnieniu wyłączeń określonych w pkt 5.1.1., obliczonego w oparciu </t>
  </si>
  <si>
    <t>9.8.1</t>
  </si>
  <si>
    <t>Przeznaczenie prognozowanej nadwyżki budżetowej,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</si>
  <si>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</si>
  <si>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</si>
  <si>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</si>
  <si>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</si>
  <si>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</si>
  <si>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</si>
  <si>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</si>
  <si>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</si>
  <si>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 art. 226 ust. 3 ustawy, z tego: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</si>
  <si>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</si>
  <si>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</si>
  <si>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</si>
  <si>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</si>
  <si>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</si>
  <si>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</si>
  <si>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</si>
  <si>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</si>
  <si>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</si>
  <si>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</si>
  <si>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</si>
  <si>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</si>
  <si>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ustawy, w tym:</t>
  </si>
  <si>
    <t>12.1.1</t>
  </si>
  <si>
    <t>środki określone w art. 5 ust. 1 pkt 2 ustawy, w tym:</t>
  </si>
  <si>
    <t>12.1.1.1</t>
  </si>
  <si>
    <t>środki określone w art. 5 ust. 1 pkt 2 ustawy wynikające wyłącznie z zawartych umów na realizację programu, projektu lub zadania</t>
  </si>
  <si>
    <t>12.2</t>
  </si>
  <si>
    <t>Dochody majątkowe na programy, projekty lub zadania finansowane z udziałem środków, o których mowa w art. 5 ust. 1 pkt 2 i 3 ustawy, w tym:</t>
  </si>
  <si>
    <t>12.2.1</t>
  </si>
  <si>
    <t>12.2.1.1</t>
  </si>
  <si>
    <t>12.3</t>
  </si>
  <si>
    <t>Wydatki bieżące na programy, projekty lub zadania finansowane z udziałem środków, o których mowa w art. 5 ust. 1 pkt 2 i 3 ustawy</t>
  </si>
  <si>
    <t>12.3.1</t>
  </si>
  <si>
    <t xml:space="preserve">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</si>
  <si>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</si>
  <si>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</si>
  <si>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</si>
  <si>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</si>
  <si>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</si>
  <si>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</si>
  <si>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</si>
  <si>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</si>
  <si>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</si>
  <si>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</si>
  <si>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</si>
  <si>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</si>
  <si>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dnia 15 kwietnia 2011 r.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</si>
  <si>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</si>
  <si>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</si>
  <si>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</si>
  <si>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o działalności leczniczej</t>
  </si>
  <si>
    <t>13.5</t>
  </si>
  <si>
    <t>Wydatki na spłatę przejętych zobowiązań samodzielnego publicznego zakładu opieki zdrowotnej likwidowanego na zasadach określonych w przepisach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</si>
  <si>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</si>
  <si>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</si>
  <si>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</si>
  <si>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</si>
  <si>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</si>
  <si>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</si>
  <si>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</si>
  <si>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</si>
  <si>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</si>
  <si>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</si>
  <si>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tym: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</si>
  <si>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</si>
  <si>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</si>
  <si>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</si>
  <si>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</si>
  <si>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</si>
  <si>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</si>
  <si>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</si>
  <si>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(m.in. umorzenia, różnice kursowe)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</si>
</sst>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0.00%;[Red]\-0.00%"/>
  </numFmts>
  <fonts count="52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i/>
      <sz val="10"/>
      <color indexed="10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i/>
      <sz val="12"/>
      <color indexed="10"/>
      <name val="Czcionka tekstu podstawowego"/>
      <charset val="238"/>
    </font>
    <font>
      <sz val="12"/>
      <color indexed="8"/>
      <name val="Czcionka tekstu podstawowego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sz val="12"/>
      <color indexed="8"/>
      <name val="Czcionka tekstu podstawowego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b/>
      <sz val="13"/>
      <color indexed="8"/>
      <name val="Czcionka tekstu podstawowego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Czcionka tekstu podstawowego"/>
      <family val="2"/>
      <charset val="238"/>
    </font>
    <font>
      <sz val="13"/>
      <color indexed="8"/>
      <name val="Times New Roman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5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3" fillId="0" borderId="0"/>
    <xf numFmtId="0" fontId="23" fillId="0" borderId="0"/>
    <xf numFmtId="0" fontId="24" fillId="0" borderId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2" fillId="0" borderId="0"/>
    <xf numFmtId="0" fontId="25" fillId="20" borderId="1" applyNumberFormat="0" applyAlignment="0" applyProtection="0"/>
    <xf numFmtId="0" fontId="25" fillId="20" borderId="1" applyNumberFormat="0" applyAlignment="0" applyProtection="0"/>
    <xf numFmtId="0" fontId="26" fillId="20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23" borderId="9" applyNumberFormat="0" applyFont="0" applyAlignment="0" applyProtection="0"/>
    <xf numFmtId="0" fontId="2" fillId="23" borderId="9" applyNumberFormat="0" applyFont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5" fillId="3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36" fillId="0" borderId="0" xfId="0" applyFont="1" applyProtection="1">
      <protection locked="0"/>
    </xf>
    <xf numFmtId="0" fontId="0" fillId="0" borderId="0" xfId="0" applyProtection="1">
      <protection locked="0"/>
    </xf>
    <xf numFmtId="0" fontId="37" fillId="0" borderId="0" xfId="0" applyFont="1" applyProtection="1">
      <protection locked="0"/>
    </xf>
    <xf numFmtId="0" fontId="38" fillId="0" borderId="0" xfId="0" applyFont="1" applyAlignment="1" applyProtection="1">
      <alignment vertical="center"/>
      <protection locked="0"/>
    </xf>
    <xf numFmtId="0" fontId="39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41" fillId="0" borderId="0" xfId="0" applyFont="1" applyAlignment="1" applyProtection="1">
      <alignment horizontal="right"/>
      <protection locked="0"/>
    </xf>
    <xf numFmtId="49" fontId="42" fillId="0" borderId="0" xfId="0" applyNumberFormat="1" applyFont="1" applyAlignment="1" applyProtection="1">
      <alignment vertical="center"/>
      <protection locked="0"/>
    </xf>
    <xf numFmtId="0" fontId="37" fillId="0" borderId="0" xfId="0" applyFont="1"/>
    <xf numFmtId="0" fontId="37" fillId="0" borderId="0" xfId="0" applyFont="1" applyBorder="1" applyProtection="1">
      <protection locked="0"/>
    </xf>
    <xf numFmtId="0" fontId="38" fillId="0" borderId="0" xfId="0" applyFont="1" applyProtection="1">
      <protection locked="0"/>
    </xf>
    <xf numFmtId="0" fontId="43" fillId="0" borderId="0" xfId="0" applyFont="1" applyAlignment="1" applyProtection="1">
      <alignment horizontal="left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49" fontId="42" fillId="24" borderId="0" xfId="0" applyNumberFormat="1" applyFont="1" applyFill="1" applyAlignment="1" applyProtection="1">
      <alignment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1" fillId="0" borderId="0" xfId="0" applyFont="1" applyBorder="1" applyAlignment="1" applyProtection="1">
      <alignment horizontal="right" vertical="center"/>
      <protection locked="0"/>
    </xf>
    <xf numFmtId="0" fontId="42" fillId="24" borderId="0" xfId="0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45" fillId="0" borderId="0" xfId="0" applyFont="1" applyAlignment="1">
      <alignment horizontal="center" vertical="center"/>
    </xf>
    <xf numFmtId="0" fontId="45" fillId="0" borderId="0" xfId="0" applyFont="1" applyProtection="1">
      <protection locked="0"/>
    </xf>
    <xf numFmtId="0" fontId="45" fillId="0" borderId="0" xfId="0" applyFont="1" applyBorder="1" applyProtection="1">
      <protection locked="0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 applyProtection="1">
      <alignment vertical="center" wrapText="1"/>
      <protection locked="0"/>
    </xf>
    <xf numFmtId="0" fontId="45" fillId="0" borderId="0" xfId="0" applyFont="1"/>
    <xf numFmtId="0" fontId="48" fillId="0" borderId="10" xfId="0" applyFont="1" applyBorder="1" applyAlignment="1">
      <alignment horizontal="left" vertical="center"/>
    </xf>
    <xf numFmtId="49" fontId="49" fillId="25" borderId="10" xfId="114" applyNumberFormat="1" applyFont="1" applyFill="1" applyBorder="1" applyAlignment="1">
      <alignment horizontal="center" vertical="center"/>
    </xf>
    <xf numFmtId="49" fontId="49" fillId="25" borderId="11" xfId="114" applyNumberFormat="1" applyFont="1" applyFill="1" applyBorder="1" applyAlignment="1">
      <alignment horizontal="center" vertical="center"/>
    </xf>
    <xf numFmtId="49" fontId="49" fillId="25" borderId="10" xfId="114" applyNumberFormat="1" applyFont="1" applyFill="1" applyBorder="1" applyAlignment="1">
      <alignment horizontal="center" vertical="center" wrapText="1"/>
    </xf>
    <xf numFmtId="1" fontId="49" fillId="25" borderId="10" xfId="114" applyNumberFormat="1" applyFont="1" applyFill="1" applyBorder="1" applyAlignment="1">
      <alignment horizontal="center" vertical="center"/>
    </xf>
    <xf numFmtId="1" fontId="49" fillId="25" borderId="12" xfId="114" applyNumberFormat="1" applyFont="1" applyFill="1" applyBorder="1" applyAlignment="1">
      <alignment horizontal="center" vertical="center"/>
    </xf>
    <xf numFmtId="0" fontId="50" fillId="0" borderId="0" xfId="0" applyFont="1"/>
    <xf numFmtId="0" fontId="50" fillId="0" borderId="0" xfId="0" applyFont="1" applyAlignment="1">
      <alignment horizontal="center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vertical="center" wrapText="1"/>
    </xf>
    <xf numFmtId="164" fontId="49" fillId="25" borderId="16" xfId="114" applyNumberFormat="1" applyFont="1" applyFill="1" applyBorder="1" applyAlignment="1">
      <alignment vertical="center" shrinkToFit="1"/>
    </xf>
    <xf numFmtId="164" fontId="49" fillId="25" borderId="17" xfId="114" applyNumberFormat="1" applyFont="1" applyFill="1" applyBorder="1" applyAlignment="1">
      <alignment vertical="center" shrinkToFit="1"/>
    </xf>
    <xf numFmtId="164" fontId="49" fillId="25" borderId="18" xfId="114" applyNumberFormat="1" applyFont="1" applyFill="1" applyBorder="1" applyAlignment="1">
      <alignment vertical="center" shrinkToFit="1"/>
    </xf>
    <xf numFmtId="164" fontId="49" fillId="0" borderId="13" xfId="114" applyNumberFormat="1" applyFont="1" applyFill="1" applyBorder="1" applyAlignment="1">
      <alignment vertical="center" shrinkToFit="1"/>
    </xf>
    <xf numFmtId="164" fontId="49" fillId="0" borderId="14" xfId="114" applyNumberFormat="1" applyFont="1" applyFill="1" applyBorder="1" applyAlignment="1">
      <alignment vertical="center" shrinkToFit="1"/>
    </xf>
    <xf numFmtId="0" fontId="51" fillId="0" borderId="19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 indent="1"/>
    </xf>
    <xf numFmtId="164" fontId="51" fillId="25" borderId="21" xfId="114" applyNumberFormat="1" applyFont="1" applyFill="1" applyBorder="1" applyAlignment="1">
      <alignment vertical="center" shrinkToFit="1"/>
    </xf>
    <xf numFmtId="164" fontId="51" fillId="25" borderId="22" xfId="114" applyNumberFormat="1" applyFont="1" applyFill="1" applyBorder="1" applyAlignment="1">
      <alignment vertical="center" shrinkToFit="1"/>
    </xf>
    <xf numFmtId="164" fontId="51" fillId="25" borderId="23" xfId="114" applyNumberFormat="1" applyFont="1" applyFill="1" applyBorder="1" applyAlignment="1">
      <alignment vertical="center" shrinkToFit="1"/>
    </xf>
    <xf numFmtId="164" fontId="51" fillId="0" borderId="19" xfId="114" applyNumberFormat="1" applyFont="1" applyFill="1" applyBorder="1" applyAlignment="1">
      <alignment vertical="center" shrinkToFit="1"/>
    </xf>
    <xf numFmtId="164" fontId="51" fillId="0" borderId="20" xfId="114" applyNumberFormat="1" applyFont="1" applyFill="1" applyBorder="1" applyAlignment="1">
      <alignment vertical="center" shrinkToFit="1"/>
    </xf>
    <xf numFmtId="0" fontId="51" fillId="0" borderId="20" xfId="0" applyFont="1" applyBorder="1" applyAlignment="1">
      <alignment horizontal="left" vertical="center" wrapText="1" indent="2"/>
    </xf>
    <xf numFmtId="0" fontId="51" fillId="0" borderId="20" xfId="0" applyFont="1" applyBorder="1" applyAlignment="1">
      <alignment horizontal="left" vertical="center" wrapText="1" indent="3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4" xfId="0" applyFont="1" applyBorder="1" applyAlignment="1">
      <alignment vertical="center" wrapText="1"/>
    </xf>
    <xf numFmtId="164" fontId="49" fillId="25" borderId="21" xfId="114" applyNumberFormat="1" applyFont="1" applyFill="1" applyBorder="1" applyAlignment="1">
      <alignment vertical="center" shrinkToFit="1"/>
    </xf>
    <xf numFmtId="164" fontId="49" fillId="25" borderId="22" xfId="114" applyNumberFormat="1" applyFont="1" applyFill="1" applyBorder="1" applyAlignment="1">
      <alignment vertical="center" shrinkToFit="1"/>
    </xf>
    <xf numFmtId="164" fontId="49" fillId="25" borderId="23" xfId="114" applyNumberFormat="1" applyFont="1" applyFill="1" applyBorder="1" applyAlignment="1">
      <alignment vertical="center" shrinkToFit="1"/>
    </xf>
    <xf numFmtId="164" fontId="49" fillId="0" borderId="19" xfId="114" applyNumberFormat="1" applyFont="1" applyFill="1" applyBorder="1" applyAlignment="1">
      <alignment vertical="center" shrinkToFit="1"/>
    </xf>
    <xf numFmtId="164" fontId="49" fillId="0" borderId="20" xfId="114" applyNumberFormat="1" applyFont="1" applyFill="1" applyBorder="1" applyAlignment="1">
      <alignment vertical="center" shrinkToFit="1"/>
    </xf>
    <xf numFmtId="164" fontId="51" fillId="25" borderId="21" xfId="114" applyNumberFormat="1" applyFont="1" applyFill="1" applyBorder="1" applyAlignment="1">
      <alignment horizontal="center" vertical="center" shrinkToFit="1"/>
    </xf>
    <xf numFmtId="164" fontId="51" fillId="25" borderId="22" xfId="114" applyNumberFormat="1" applyFont="1" applyFill="1" applyBorder="1" applyAlignment="1">
      <alignment horizontal="center" vertical="center" shrinkToFit="1"/>
    </xf>
    <xf numFmtId="164" fontId="51" fillId="25" borderId="23" xfId="114" applyNumberFormat="1" applyFont="1" applyFill="1" applyBorder="1" applyAlignment="1">
      <alignment horizontal="center" vertical="center" shrinkToFit="1"/>
    </xf>
    <xf numFmtId="165" fontId="51" fillId="25" borderId="21" xfId="114" applyNumberFormat="1" applyFont="1" applyFill="1" applyBorder="1" applyAlignment="1">
      <alignment vertical="center" shrinkToFit="1"/>
    </xf>
    <xf numFmtId="165" fontId="51" fillId="25" borderId="22" xfId="114" applyNumberFormat="1" applyFont="1" applyFill="1" applyBorder="1" applyAlignment="1">
      <alignment vertical="center" shrinkToFit="1"/>
    </xf>
    <xf numFmtId="165" fontId="51" fillId="25" borderId="23" xfId="114" applyNumberFormat="1" applyFont="1" applyFill="1" applyBorder="1" applyAlignment="1">
      <alignment vertical="center" shrinkToFit="1"/>
    </xf>
    <xf numFmtId="165" fontId="51" fillId="0" borderId="19" xfId="114" applyNumberFormat="1" applyFont="1" applyFill="1" applyBorder="1" applyAlignment="1">
      <alignment vertical="center" shrinkToFit="1"/>
    </xf>
    <xf numFmtId="165" fontId="51" fillId="0" borderId="20" xfId="114" applyNumberFormat="1" applyFont="1" applyFill="1" applyBorder="1" applyAlignment="1">
      <alignment vertical="center" shrinkToFit="1"/>
    </xf>
    <xf numFmtId="164" fontId="49" fillId="25" borderId="21" xfId="114" applyNumberFormat="1" applyFont="1" applyFill="1" applyBorder="1" applyAlignment="1">
      <alignment horizontal="center" vertical="center" shrinkToFit="1"/>
    </xf>
    <xf numFmtId="164" fontId="49" fillId="25" borderId="22" xfId="114" applyNumberFormat="1" applyFont="1" applyFill="1" applyBorder="1" applyAlignment="1">
      <alignment horizontal="center" vertical="center" shrinkToFit="1"/>
    </xf>
    <xf numFmtId="164" fontId="49" fillId="25" borderId="23" xfId="114" applyNumberFormat="1" applyFont="1" applyFill="1" applyBorder="1" applyAlignment="1">
      <alignment horizontal="center" vertical="center" shrinkToFit="1"/>
    </xf>
    <xf numFmtId="164" fontId="49" fillId="0" borderId="19" xfId="114" applyNumberFormat="1" applyFont="1" applyFill="1" applyBorder="1" applyAlignment="1">
      <alignment horizontal="center" vertical="center" shrinkToFit="1"/>
    </xf>
    <xf numFmtId="164" fontId="49" fillId="0" borderId="20" xfId="114" applyNumberFormat="1" applyFont="1" applyFill="1" applyBorder="1" applyAlignment="1">
      <alignment horizontal="center" vertical="center" shrinkToFit="1"/>
    </xf>
    <xf numFmtId="0" fontId="51" fillId="0" borderId="19" xfId="0" applyFont="1" applyBorder="1" applyAlignment="1" applyProtection="1">
      <alignment horizontal="left" vertical="center"/>
      <protection locked="0"/>
    </xf>
    <xf numFmtId="0" fontId="51" fillId="0" borderId="20" xfId="0" applyFont="1" applyBorder="1" applyAlignment="1" applyProtection="1">
      <alignment horizontal="left" vertical="center"/>
      <protection locked="0"/>
    </xf>
    <xf numFmtId="0" fontId="49" fillId="0" borderId="24" xfId="0" applyFont="1" applyBorder="1" applyAlignment="1" applyProtection="1">
      <alignment horizontal="left" vertical="center" wrapText="1" indent="2"/>
      <protection locked="0"/>
    </xf>
    <xf numFmtId="0" fontId="51" fillId="0" borderId="19" xfId="114" applyNumberFormat="1" applyFont="1" applyFill="1" applyBorder="1" applyAlignment="1">
      <alignment horizontal="center" vertical="center" shrinkToFit="1"/>
    </xf>
    <xf numFmtId="0" fontId="51" fillId="0" borderId="20" xfId="114" applyNumberFormat="1" applyFont="1" applyFill="1" applyBorder="1" applyAlignment="1">
      <alignment horizontal="center" vertical="center" shrinkToFit="1"/>
    </xf>
    <xf numFmtId="0" fontId="49" fillId="0" borderId="24" xfId="0" applyFont="1" applyBorder="1" applyAlignment="1">
      <alignment horizontal="left" vertical="center" wrapText="1"/>
    </xf>
    <xf numFmtId="0" fontId="51" fillId="0" borderId="25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 wrapText="1" indent="1"/>
    </xf>
    <xf numFmtId="164" fontId="51" fillId="25" borderId="27" xfId="114" applyNumberFormat="1" applyFont="1" applyFill="1" applyBorder="1" applyAlignment="1">
      <alignment vertical="center" shrinkToFit="1"/>
    </xf>
    <xf numFmtId="164" fontId="51" fillId="25" borderId="28" xfId="114" applyNumberFormat="1" applyFont="1" applyFill="1" applyBorder="1" applyAlignment="1">
      <alignment vertical="center" shrinkToFit="1"/>
    </xf>
    <xf numFmtId="164" fontId="51" fillId="25" borderId="29" xfId="114" applyNumberFormat="1" applyFont="1" applyFill="1" applyBorder="1" applyAlignment="1">
      <alignment vertical="center" shrinkToFit="1"/>
    </xf>
    <xf numFmtId="164" fontId="51" fillId="0" borderId="25" xfId="114" applyNumberFormat="1" applyFont="1" applyFill="1" applyBorder="1" applyAlignment="1">
      <alignment vertical="center" shrinkToFit="1"/>
    </xf>
    <xf numFmtId="164" fontId="51" fillId="0" borderId="26" xfId="114" applyNumberFormat="1" applyFont="1" applyFill="1" applyBorder="1" applyAlignment="1">
      <alignment vertical="center" shrinkToFit="1"/>
    </xf>
    <xf numFmtId="0" fontId="46" fillId="0" borderId="0" xfId="0" applyFont="1" applyBorder="1" applyAlignment="1" applyProtection="1">
      <alignment horizontal="center" vertical="center" wrapText="1"/>
      <protection locked="0"/>
    </xf>
  </cellXfs>
  <cellStyles count="145">
    <cellStyle name="20% - akcent 1" xfId="1" builtinId="30" customBuiltin="1"/>
    <cellStyle name="20% - akcent 1 2" xfId="2"/>
    <cellStyle name="20% - akcent 1 3" xfId="3"/>
    <cellStyle name="20% - akcent 2" xfId="4" builtinId="34" customBuiltin="1"/>
    <cellStyle name="20% - akcent 2 2" xfId="5"/>
    <cellStyle name="20% - akcent 2 3" xfId="6"/>
    <cellStyle name="20% - akcent 3" xfId="7" builtinId="38" customBuiltin="1"/>
    <cellStyle name="20% - akcent 3 2" xfId="8"/>
    <cellStyle name="20% - akcent 3 3" xfId="9"/>
    <cellStyle name="20% - akcent 4" xfId="10" builtinId="42" customBuiltin="1"/>
    <cellStyle name="20% - akcent 4 2" xfId="11"/>
    <cellStyle name="20% - akcent 4 3" xfId="12"/>
    <cellStyle name="20% - akcent 5" xfId="13" builtinId="46" customBuiltin="1"/>
    <cellStyle name="20% - akcent 5 2" xfId="14"/>
    <cellStyle name="20% - akcent 5 3" xfId="15"/>
    <cellStyle name="20% - akcent 6" xfId="16" builtinId="50" customBuiltin="1"/>
    <cellStyle name="20% - akcent 6 2" xfId="17"/>
    <cellStyle name="20% - akcent 6 3" xfId="18"/>
    <cellStyle name="40% - akcent 1" xfId="19" builtinId="31" customBuiltin="1"/>
    <cellStyle name="40% - akcent 1 2" xfId="20"/>
    <cellStyle name="40% - akcent 1 3" xfId="21"/>
    <cellStyle name="40% - akcent 2" xfId="22" builtinId="35" customBuiltin="1"/>
    <cellStyle name="40% - akcent 2 2" xfId="23"/>
    <cellStyle name="40% - akcent 2 3" xfId="24"/>
    <cellStyle name="40% - akcent 3" xfId="25" builtinId="39" customBuiltin="1"/>
    <cellStyle name="40% - akcent 3 2" xfId="26"/>
    <cellStyle name="40% - akcent 3 3" xfId="27"/>
    <cellStyle name="40% - akcent 4" xfId="28" builtinId="43" customBuiltin="1"/>
    <cellStyle name="40% - akcent 4 2" xfId="29"/>
    <cellStyle name="40% - akcent 4 3" xfId="30"/>
    <cellStyle name="40% - akcent 5" xfId="31" builtinId="47" customBuiltin="1"/>
    <cellStyle name="40% - akcent 5 2" xfId="32"/>
    <cellStyle name="40% - akcent 5 3" xfId="33"/>
    <cellStyle name="40% - akcent 6" xfId="34" builtinId="51" customBuiltin="1"/>
    <cellStyle name="40% - akcent 6 2" xfId="35"/>
    <cellStyle name="40% - akcent 6 3" xfId="36"/>
    <cellStyle name="60% - akcent 1" xfId="37" builtinId="32" customBuiltin="1"/>
    <cellStyle name="60% - akcent 1 2" xfId="38"/>
    <cellStyle name="60% - akcent 1 3" xfId="39"/>
    <cellStyle name="60% - akcent 2" xfId="40" builtinId="36" customBuiltin="1"/>
    <cellStyle name="60% - akcent 2 2" xfId="41"/>
    <cellStyle name="60% - akcent 2 3" xfId="42"/>
    <cellStyle name="60% - akcent 3" xfId="43" builtinId="40" customBuiltin="1"/>
    <cellStyle name="60% - akcent 3 2" xfId="44"/>
    <cellStyle name="60% - akcent 3 3" xfId="45"/>
    <cellStyle name="60% - akcent 4" xfId="46" builtinId="44" customBuiltin="1"/>
    <cellStyle name="60% - akcent 4 2" xfId="47"/>
    <cellStyle name="60% - akcent 4 3" xfId="48"/>
    <cellStyle name="60% - akcent 5" xfId="49" builtinId="48" customBuiltin="1"/>
    <cellStyle name="60% - akcent 5 2" xfId="50"/>
    <cellStyle name="60% - akcent 5 3" xfId="51"/>
    <cellStyle name="60% - akcent 6" xfId="52" builtinId="52" customBuiltin="1"/>
    <cellStyle name="60% - akcent 6 2" xfId="53"/>
    <cellStyle name="60% - akcent 6 3" xfId="54"/>
    <cellStyle name="Akcent 1" xfId="55" builtinId="29" customBuiltin="1"/>
    <cellStyle name="Akcent 1 2" xfId="56"/>
    <cellStyle name="Akcent 1 3" xfId="57"/>
    <cellStyle name="Akcent 2" xfId="58" builtinId="33" customBuiltin="1"/>
    <cellStyle name="Akcent 2 2" xfId="59"/>
    <cellStyle name="Akcent 2 3" xfId="60"/>
    <cellStyle name="Akcent 3" xfId="61" builtinId="37" customBuiltin="1"/>
    <cellStyle name="Akcent 3 2" xfId="62"/>
    <cellStyle name="Akcent 3 3" xfId="63"/>
    <cellStyle name="Akcent 4" xfId="64" builtinId="41" customBuiltin="1"/>
    <cellStyle name="Akcent 4 2" xfId="65"/>
    <cellStyle name="Akcent 4 3" xfId="66"/>
    <cellStyle name="Akcent 5" xfId="67" builtinId="45" customBuiltin="1"/>
    <cellStyle name="Akcent 5 2" xfId="68"/>
    <cellStyle name="Akcent 5 3" xfId="69"/>
    <cellStyle name="Akcent 6" xfId="70" builtinId="49" customBuiltin="1"/>
    <cellStyle name="Akcent 6 2" xfId="71"/>
    <cellStyle name="Akcent 6 3" xfId="72"/>
    <cellStyle name="Dane wejściowe" xfId="73" builtinId="20" customBuiltin="1"/>
    <cellStyle name="Dane wejściowe 2" xfId="74"/>
    <cellStyle name="Dane wejściowe 3" xfId="75"/>
    <cellStyle name="Dane wyjściowe" xfId="76" builtinId="21" customBuiltin="1"/>
    <cellStyle name="Dane wyjściowe 2" xfId="77"/>
    <cellStyle name="Dane wyjściowe 3" xfId="78"/>
    <cellStyle name="Dobre" xfId="79" builtinId="26" customBuiltin="1"/>
    <cellStyle name="Dobre 2" xfId="80"/>
    <cellStyle name="Dobre 3" xfId="81"/>
    <cellStyle name="Komórka połączona" xfId="82" builtinId="24" customBuiltin="1"/>
    <cellStyle name="Komórka połączona 2" xfId="83"/>
    <cellStyle name="Komórka połączona 3" xfId="84"/>
    <cellStyle name="Komórka zaznaczona" xfId="85" builtinId="23" customBuiltin="1"/>
    <cellStyle name="Komórka zaznaczona 2" xfId="86"/>
    <cellStyle name="Komórka zaznaczona 3" xfId="87"/>
    <cellStyle name="Nagłówek 1" xfId="88" builtinId="16" customBuiltin="1"/>
    <cellStyle name="Nagłówek 1 2" xfId="89"/>
    <cellStyle name="Nagłówek 1 3" xfId="90"/>
    <cellStyle name="Nagłówek 2" xfId="91" builtinId="17" customBuiltin="1"/>
    <cellStyle name="Nagłówek 2 2" xfId="92"/>
    <cellStyle name="Nagłówek 2 3" xfId="93"/>
    <cellStyle name="Nagłówek 3" xfId="94" builtinId="18" customBuiltin="1"/>
    <cellStyle name="Nagłówek 3 2" xfId="95"/>
    <cellStyle name="Nagłówek 3 3" xfId="96"/>
    <cellStyle name="Nagłówek 4" xfId="97" builtinId="19" customBuiltin="1"/>
    <cellStyle name="Nagłówek 4 2" xfId="98"/>
    <cellStyle name="Nagłówek 4 3" xfId="99"/>
    <cellStyle name="Neutralne" xfId="100" builtinId="28" customBuiltin="1"/>
    <cellStyle name="Neutralne 2" xfId="101"/>
    <cellStyle name="Neutralne 3" xfId="102"/>
    <cellStyle name="Normalny" xfId="0" builtinId="0"/>
    <cellStyle name="Normalny 2" xfId="103"/>
    <cellStyle name="Normalny 2 2" xfId="104"/>
    <cellStyle name="Normalny 2 3" xfId="105"/>
    <cellStyle name="Normalny 2 4" xfId="106"/>
    <cellStyle name="Normalny 2 5" xfId="107"/>
    <cellStyle name="Normalny 2 6" xfId="108"/>
    <cellStyle name="Normalny 2 7" xfId="109"/>
    <cellStyle name="Normalny 3" xfId="110"/>
    <cellStyle name="Normalny 4" xfId="111"/>
    <cellStyle name="Normalny 5" xfId="112"/>
    <cellStyle name="Normalny 6" xfId="113"/>
    <cellStyle name="Normalny 6 2" xfId="114"/>
    <cellStyle name="Normalny 7" xfId="115"/>
    <cellStyle name="Normalny 7 2" xfId="116"/>
    <cellStyle name="Normalny 8" xfId="117"/>
    <cellStyle name="Obliczenia" xfId="118" builtinId="22" customBuiltin="1"/>
    <cellStyle name="Obliczenia 2" xfId="119"/>
    <cellStyle name="Obliczenia 3" xfId="120"/>
    <cellStyle name="Procentowy 2" xfId="121"/>
    <cellStyle name="Procentowy 2 2" xfId="122"/>
    <cellStyle name="Procentowy 2 3" xfId="123"/>
    <cellStyle name="Procentowy 3" xfId="124"/>
    <cellStyle name="Procentowy 3 2" xfId="125"/>
    <cellStyle name="Procentowy 4" xfId="126"/>
    <cellStyle name="Procentowy 5" xfId="127"/>
    <cellStyle name="Suma" xfId="128" builtinId="25" customBuiltin="1"/>
    <cellStyle name="Suma 2" xfId="129"/>
    <cellStyle name="Suma 3" xfId="130"/>
    <cellStyle name="Tekst objaśnienia" xfId="131" builtinId="53" customBuiltin="1"/>
    <cellStyle name="Tekst objaśnienia 2" xfId="132"/>
    <cellStyle name="Tekst objaśnienia 3" xfId="133"/>
    <cellStyle name="Tekst ostrzeżenia" xfId="134" builtinId="11" customBuiltin="1"/>
    <cellStyle name="Tekst ostrzeżenia 2" xfId="135"/>
    <cellStyle name="Tekst ostrzeżenia 3" xfId="136"/>
    <cellStyle name="Tytuł" xfId="137" builtinId="15" customBuiltin="1"/>
    <cellStyle name="Tytuł 2" xfId="138"/>
    <cellStyle name="Uwaga" xfId="139" builtinId="10" customBuiltin="1"/>
    <cellStyle name="Uwaga 2" xfId="140"/>
    <cellStyle name="Uwaga 3" xfId="141"/>
    <cellStyle name="Złe" xfId="142" builtinId="27" customBuiltin="1"/>
    <cellStyle name="Złe 2" xfId="143"/>
    <cellStyle name="Złe 3" xfId="144"/>
  </cellStyles>
  <dxfs count="1">
    <dxf>
      <font>
        <b/>
        <i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&#322;a&#347;ciciel/AppData/Local/Microsoft/Windows/Temporary%20Internet%20Files/Content.IE5/IBIDSS8A/WPF%20za&#322;.%20nr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1_WPF_bazowy"/>
      <sheetName val="rysunki"/>
      <sheetName val="WPF_AnalizaWsk_Projektowanie"/>
      <sheetName val="definicja"/>
      <sheetName val="DaneZrodlowe"/>
      <sheetName val="DaneZrodloweDoWsk"/>
    </sheetNames>
    <sheetDataSet>
      <sheetData sheetId="0"/>
      <sheetData sheetId="1"/>
      <sheetData sheetId="2"/>
      <sheetData sheetId="3">
        <row r="9">
          <cell r="E9">
            <v>2013</v>
          </cell>
          <cell r="F9">
            <v>2014</v>
          </cell>
          <cell r="G9">
            <v>2015</v>
          </cell>
          <cell r="H9">
            <v>2016</v>
          </cell>
        </row>
      </sheetData>
      <sheetData sheetId="4">
        <row r="1">
          <cell r="M1">
            <v>2013</v>
          </cell>
          <cell r="P1">
            <v>2016</v>
          </cell>
        </row>
        <row r="4">
          <cell r="B4" t="str">
            <v>2</v>
          </cell>
          <cell r="C4" t="str">
            <v>KRZYŻANÓW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L104"/>
  <sheetViews>
    <sheetView tabSelected="1" view="pageLayout" topLeftCell="I1" zoomScaleNormal="90" zoomScaleSheetLayoutView="100" workbookViewId="0">
      <selection activeCell="D5" sqref="D5"/>
    </sheetView>
  </sheetViews>
  <sheetFormatPr defaultRowHeight="14.25" outlineLevelRow="3" outlineLevelCol="1"/>
  <cols>
    <col min="1" max="1" width="4.25" style="1" hidden="1" customWidth="1" outlineLevel="1"/>
    <col min="2" max="2" width="6.625" style="10" customWidth="1" collapsed="1"/>
    <col min="3" max="3" width="7.25" style="10" hidden="1" customWidth="1"/>
    <col min="4" max="4" width="96.625" style="10" customWidth="1"/>
    <col min="5" max="7" width="14" style="10" hidden="1" customWidth="1" outlineLevel="1"/>
    <col min="8" max="8" width="6.5" style="10" hidden="1" customWidth="1" outlineLevel="1"/>
    <col min="9" max="9" width="20.5" style="10" customWidth="1" collapsed="1"/>
    <col min="10" max="10" width="20.25" style="10" customWidth="1"/>
    <col min="11" max="11" width="20.5" style="10" customWidth="1"/>
    <col min="12" max="12" width="20.375" style="10" customWidth="1"/>
  </cols>
  <sheetData>
    <row r="1" spans="1:12">
      <c r="B1" s="2" t="s">
        <v>0</v>
      </c>
      <c r="C1" s="2"/>
      <c r="D1" s="3"/>
      <c r="E1" s="4"/>
      <c r="F1" s="4"/>
      <c r="G1" s="4"/>
      <c r="H1" s="4"/>
      <c r="I1" s="5" t="s">
        <v>1</v>
      </c>
      <c r="J1" s="4"/>
      <c r="K1" s="4"/>
      <c r="L1" s="4"/>
    </row>
    <row r="2" spans="1:12" ht="15">
      <c r="B2" s="6" t="s">
        <v>2</v>
      </c>
      <c r="C2" s="6"/>
      <c r="D2" s="7"/>
      <c r="E2" s="4"/>
      <c r="F2" s="4"/>
      <c r="G2" s="4"/>
      <c r="H2" s="4"/>
      <c r="I2" s="4"/>
      <c r="J2" s="4"/>
      <c r="K2" s="4"/>
      <c r="L2" s="4"/>
    </row>
    <row r="3" spans="1:12">
      <c r="B3" s="3"/>
      <c r="C3" s="3"/>
      <c r="D3" s="3"/>
      <c r="E3" s="4"/>
      <c r="F3" s="4"/>
      <c r="G3" s="4"/>
      <c r="H3" s="4"/>
      <c r="I3" s="4"/>
      <c r="J3" s="4"/>
      <c r="K3" s="4"/>
      <c r="L3" s="4"/>
    </row>
    <row r="4" spans="1:12" ht="15">
      <c r="B4" s="4"/>
      <c r="C4" s="4"/>
      <c r="D4" s="5"/>
      <c r="E4" s="4"/>
      <c r="F4" s="4"/>
      <c r="G4" s="4"/>
      <c r="H4" s="4"/>
      <c r="I4" s="8" t="s">
        <v>3</v>
      </c>
      <c r="J4" s="9" t="str">
        <f>[1]DaneZrodlowe!B4</f>
        <v>2</v>
      </c>
      <c r="K4" s="4"/>
      <c r="L4" s="4"/>
    </row>
    <row r="5" spans="1:12" ht="15">
      <c r="E5" s="11"/>
      <c r="F5" s="12"/>
      <c r="G5" s="13"/>
      <c r="H5" s="11"/>
      <c r="I5" s="14" t="s">
        <v>4</v>
      </c>
      <c r="J5" s="15" t="str">
        <f>[1]DaneZrodlowe!C4</f>
        <v>KRZYŻANÓW</v>
      </c>
      <c r="K5" s="11"/>
      <c r="L5" s="4"/>
    </row>
    <row r="6" spans="1:12" ht="15">
      <c r="E6" s="16" t="s">
        <v>5</v>
      </c>
      <c r="F6" s="16" t="s">
        <v>6</v>
      </c>
      <c r="G6" s="16" t="s">
        <v>7</v>
      </c>
      <c r="H6" s="16" t="s">
        <v>8</v>
      </c>
      <c r="I6" s="17" t="s">
        <v>9</v>
      </c>
      <c r="J6" s="18" t="str">
        <f>CONCATENATE([1]DaneZrodlowe!M1," - ",[1]DaneZrodlowe!P1)</f>
        <v>2013 - 2016</v>
      </c>
      <c r="K6" s="11"/>
      <c r="L6" s="19"/>
    </row>
    <row r="7" spans="1:12">
      <c r="E7" s="16"/>
      <c r="F7" s="16"/>
      <c r="G7" s="16"/>
      <c r="H7" s="16"/>
      <c r="K7" s="11"/>
      <c r="L7" s="4"/>
    </row>
    <row r="8" spans="1:12" s="26" customFormat="1" ht="30" customHeight="1">
      <c r="A8" s="20"/>
      <c r="B8" s="21"/>
      <c r="C8" s="21"/>
      <c r="D8" s="22"/>
      <c r="E8" s="88" t="s">
        <v>10</v>
      </c>
      <c r="F8" s="88"/>
      <c r="G8" s="23" t="s">
        <v>11</v>
      </c>
      <c r="H8" s="23" t="s">
        <v>10</v>
      </c>
      <c r="I8" s="24" t="str">
        <f>""</f>
        <v/>
      </c>
      <c r="J8" s="25"/>
      <c r="K8" s="25"/>
      <c r="L8" s="25"/>
    </row>
    <row r="9" spans="1:12" s="33" customFormat="1" ht="36.75" customHeight="1">
      <c r="A9" s="27" t="s">
        <v>12</v>
      </c>
      <c r="B9" s="28" t="s">
        <v>13</v>
      </c>
      <c r="C9" s="29"/>
      <c r="D9" s="28" t="s">
        <v>14</v>
      </c>
      <c r="E9" s="30" t="s">
        <v>15</v>
      </c>
      <c r="F9" s="30" t="s">
        <v>16</v>
      </c>
      <c r="G9" s="30" t="s">
        <v>17</v>
      </c>
      <c r="H9" s="30" t="s">
        <v>17</v>
      </c>
      <c r="I9" s="31">
        <f>+[1]definicja!E9</f>
        <v>2013</v>
      </c>
      <c r="J9" s="32">
        <f>+[1]definicja!F9</f>
        <v>2014</v>
      </c>
      <c r="K9" s="31">
        <f>+[1]definicja!G9</f>
        <v>2015</v>
      </c>
      <c r="L9" s="31">
        <f>+[1]definicja!H9</f>
        <v>2016</v>
      </c>
    </row>
    <row r="10" spans="1:12" s="33" customFormat="1" ht="30" customHeight="1" outlineLevel="1">
      <c r="A10" s="34" t="s">
        <v>18</v>
      </c>
      <c r="B10" s="35">
        <v>1</v>
      </c>
      <c r="C10" s="36"/>
      <c r="D10" s="37" t="s">
        <v>19</v>
      </c>
      <c r="E10" s="38">
        <f>11643249.6</f>
        <v>11643249.6</v>
      </c>
      <c r="F10" s="39">
        <f>11735693.56</f>
        <v>11735693.560000001</v>
      </c>
      <c r="G10" s="39">
        <f>14002142.72</f>
        <v>14002142.720000001</v>
      </c>
      <c r="H10" s="40">
        <f>14062028.15</f>
        <v>14062028.15</v>
      </c>
      <c r="I10" s="41">
        <f>12637942.95</f>
        <v>12637942.949999999</v>
      </c>
      <c r="J10" s="42">
        <f>14276017</f>
        <v>14276017</v>
      </c>
      <c r="K10" s="41">
        <f>13000000</f>
        <v>13000000</v>
      </c>
      <c r="L10" s="41">
        <f>13130000</f>
        <v>13130000</v>
      </c>
    </row>
    <row r="11" spans="1:12" s="33" customFormat="1" ht="30" customHeight="1" outlineLevel="2">
      <c r="A11" s="34" t="s">
        <v>18</v>
      </c>
      <c r="B11" s="43" t="s">
        <v>20</v>
      </c>
      <c r="C11" s="44"/>
      <c r="D11" s="45" t="s">
        <v>21</v>
      </c>
      <c r="E11" s="46">
        <f>10581421.11</f>
        <v>10581421.109999999</v>
      </c>
      <c r="F11" s="47">
        <f>10187163.27</f>
        <v>10187163.27</v>
      </c>
      <c r="G11" s="47">
        <f>12501780.72</f>
        <v>12501780.720000001</v>
      </c>
      <c r="H11" s="48">
        <f>12660364.54</f>
        <v>12660364.539999999</v>
      </c>
      <c r="I11" s="49">
        <f>11901222.95</f>
        <v>11901222.949999999</v>
      </c>
      <c r="J11" s="50">
        <f>12161613</f>
        <v>12161613</v>
      </c>
      <c r="K11" s="49">
        <f>13000000</f>
        <v>13000000</v>
      </c>
      <c r="L11" s="49">
        <f>13130000</f>
        <v>13130000</v>
      </c>
    </row>
    <row r="12" spans="1:12" s="33" customFormat="1" ht="30" customHeight="1" outlineLevel="3">
      <c r="A12" s="34"/>
      <c r="B12" s="43" t="s">
        <v>22</v>
      </c>
      <c r="C12" s="44"/>
      <c r="D12" s="51" t="s">
        <v>23</v>
      </c>
      <c r="E12" s="46">
        <f>980948</f>
        <v>980948</v>
      </c>
      <c r="F12" s="47">
        <f>976091</f>
        <v>976091</v>
      </c>
      <c r="G12" s="47">
        <f>1438029</f>
        <v>1438029</v>
      </c>
      <c r="H12" s="48">
        <f>1398132</f>
        <v>1398132</v>
      </c>
      <c r="I12" s="49">
        <f>1443005</f>
        <v>1443005</v>
      </c>
      <c r="J12" s="50">
        <f>1440000</f>
        <v>1440000</v>
      </c>
      <c r="K12" s="49">
        <f>1455000</f>
        <v>1455000</v>
      </c>
      <c r="L12" s="49">
        <f>1470000</f>
        <v>1470000</v>
      </c>
    </row>
    <row r="13" spans="1:12" s="33" customFormat="1" ht="30" customHeight="1" outlineLevel="3">
      <c r="A13" s="34"/>
      <c r="B13" s="43" t="s">
        <v>24</v>
      </c>
      <c r="C13" s="44"/>
      <c r="D13" s="51" t="s">
        <v>25</v>
      </c>
      <c r="E13" s="46">
        <f>1276.65</f>
        <v>1276.6500000000001</v>
      </c>
      <c r="F13" s="47">
        <f>7359.96</f>
        <v>7359.96</v>
      </c>
      <c r="G13" s="47">
        <f>7000</f>
        <v>7000</v>
      </c>
      <c r="H13" s="48">
        <f>873.76</f>
        <v>873.76</v>
      </c>
      <c r="I13" s="49">
        <f>1000</f>
        <v>1000</v>
      </c>
      <c r="J13" s="50">
        <f>1000</f>
        <v>1000</v>
      </c>
      <c r="K13" s="49">
        <f>1000</f>
        <v>1000</v>
      </c>
      <c r="L13" s="49">
        <f>1000</f>
        <v>1000</v>
      </c>
    </row>
    <row r="14" spans="1:12" s="33" customFormat="1" ht="30" customHeight="1" outlineLevel="3">
      <c r="A14" s="34"/>
      <c r="B14" s="43" t="s">
        <v>26</v>
      </c>
      <c r="C14" s="44"/>
      <c r="D14" s="51" t="s">
        <v>27</v>
      </c>
      <c r="E14" s="46">
        <f>3289130.09</f>
        <v>3289130.09</v>
      </c>
      <c r="F14" s="47">
        <f>3093016.26</f>
        <v>3093016.26</v>
      </c>
      <c r="G14" s="47">
        <f>4782601</f>
        <v>4782601</v>
      </c>
      <c r="H14" s="48">
        <f>4719070.97</f>
        <v>4719070.97</v>
      </c>
      <c r="I14" s="49">
        <f>4645057.95</f>
        <v>4645057.95</v>
      </c>
      <c r="J14" s="50">
        <f>4895613</f>
        <v>4895613</v>
      </c>
      <c r="K14" s="49">
        <f>5660800</f>
        <v>5660800</v>
      </c>
      <c r="L14" s="49">
        <f>5759000</f>
        <v>5759000</v>
      </c>
    </row>
    <row r="15" spans="1:12" s="33" customFormat="1" ht="30" customHeight="1" outlineLevel="3">
      <c r="A15" s="34"/>
      <c r="B15" s="43" t="s">
        <v>28</v>
      </c>
      <c r="C15" s="44"/>
      <c r="D15" s="52" t="s">
        <v>29</v>
      </c>
      <c r="E15" s="46">
        <f>651310.8</f>
        <v>651310.80000000005</v>
      </c>
      <c r="F15" s="47">
        <f>849319.19</f>
        <v>849319.19</v>
      </c>
      <c r="G15" s="47">
        <f>1654358</f>
        <v>1654358</v>
      </c>
      <c r="H15" s="48">
        <f>1608877.11</f>
        <v>1608877.11</v>
      </c>
      <c r="I15" s="49">
        <f>1644617.4</f>
        <v>1644617.4</v>
      </c>
      <c r="J15" s="50">
        <f>1661000</f>
        <v>1661000</v>
      </c>
      <c r="K15" s="49">
        <f>2381000</f>
        <v>2381000</v>
      </c>
      <c r="L15" s="49">
        <f>2400000</f>
        <v>2400000</v>
      </c>
    </row>
    <row r="16" spans="1:12" s="33" customFormat="1" ht="30" customHeight="1" outlineLevel="3">
      <c r="A16" s="34"/>
      <c r="B16" s="43" t="s">
        <v>30</v>
      </c>
      <c r="C16" s="44"/>
      <c r="D16" s="51" t="s">
        <v>31</v>
      </c>
      <c r="E16" s="46">
        <f>4242695</f>
        <v>4242695</v>
      </c>
      <c r="F16" s="47">
        <f>4037554</f>
        <v>4037554</v>
      </c>
      <c r="G16" s="47">
        <f>4442453</f>
        <v>4442453</v>
      </c>
      <c r="H16" s="48">
        <f>4481337</f>
        <v>4481337</v>
      </c>
      <c r="I16" s="49">
        <f>4504728</f>
        <v>4504728</v>
      </c>
      <c r="J16" s="50">
        <f>4505000</f>
        <v>4505000</v>
      </c>
      <c r="K16" s="49">
        <f>4550000</f>
        <v>4550000</v>
      </c>
      <c r="L16" s="49">
        <f>4550000</f>
        <v>4550000</v>
      </c>
    </row>
    <row r="17" spans="1:12" s="33" customFormat="1" ht="30" customHeight="1" outlineLevel="3">
      <c r="A17" s="34"/>
      <c r="B17" s="43" t="s">
        <v>32</v>
      </c>
      <c r="C17" s="44"/>
      <c r="D17" s="51" t="s">
        <v>33</v>
      </c>
      <c r="E17" s="46">
        <f>2067371.37</f>
        <v>2067371.37</v>
      </c>
      <c r="F17" s="47">
        <f>2073142.05</f>
        <v>2073142.05</v>
      </c>
      <c r="G17" s="47">
        <f>1831697.72</f>
        <v>1831697.72</v>
      </c>
      <c r="H17" s="48">
        <f>2060950.81</f>
        <v>2060950.81</v>
      </c>
      <c r="I17" s="49">
        <f>1307432</f>
        <v>1307432</v>
      </c>
      <c r="J17" s="50">
        <f>1320000</f>
        <v>1320000</v>
      </c>
      <c r="K17" s="49">
        <f>1333200</f>
        <v>1333200</v>
      </c>
      <c r="L17" s="49">
        <f>1350000</f>
        <v>1350000</v>
      </c>
    </row>
    <row r="18" spans="1:12" s="33" customFormat="1" ht="30" customHeight="1" outlineLevel="2">
      <c r="A18" s="34" t="s">
        <v>18</v>
      </c>
      <c r="B18" s="43" t="s">
        <v>34</v>
      </c>
      <c r="C18" s="44"/>
      <c r="D18" s="45" t="s">
        <v>35</v>
      </c>
      <c r="E18" s="46">
        <f>1061828.49</f>
        <v>1061828.49</v>
      </c>
      <c r="F18" s="47">
        <f>1548530.29</f>
        <v>1548530.29</v>
      </c>
      <c r="G18" s="47">
        <f>1500362</f>
        <v>1500362</v>
      </c>
      <c r="H18" s="48">
        <f>1401663.61</f>
        <v>1401663.61</v>
      </c>
      <c r="I18" s="49">
        <f>736720</f>
        <v>736720</v>
      </c>
      <c r="J18" s="50">
        <f>2114404</f>
        <v>2114404</v>
      </c>
      <c r="K18" s="49">
        <f>0</f>
        <v>0</v>
      </c>
      <c r="L18" s="49">
        <f>0</f>
        <v>0</v>
      </c>
    </row>
    <row r="19" spans="1:12" s="33" customFormat="1" ht="30" customHeight="1" outlineLevel="3">
      <c r="A19" s="34" t="s">
        <v>18</v>
      </c>
      <c r="B19" s="43" t="s">
        <v>36</v>
      </c>
      <c r="C19" s="44"/>
      <c r="D19" s="51" t="s">
        <v>37</v>
      </c>
      <c r="E19" s="46">
        <f>319119.33</f>
        <v>319119.33</v>
      </c>
      <c r="F19" s="47">
        <f>140492.99</f>
        <v>140492.99</v>
      </c>
      <c r="G19" s="47">
        <f>70000</f>
        <v>70000</v>
      </c>
      <c r="H19" s="48">
        <f>69038.91</f>
        <v>69038.91</v>
      </c>
      <c r="I19" s="49">
        <f>330000</f>
        <v>330000</v>
      </c>
      <c r="J19" s="50">
        <f>0</f>
        <v>0</v>
      </c>
      <c r="K19" s="49">
        <f>0</f>
        <v>0</v>
      </c>
      <c r="L19" s="49">
        <f>0</f>
        <v>0</v>
      </c>
    </row>
    <row r="20" spans="1:12" s="33" customFormat="1" ht="30" customHeight="1" outlineLevel="3">
      <c r="A20" s="34"/>
      <c r="B20" s="43" t="s">
        <v>38</v>
      </c>
      <c r="C20" s="44"/>
      <c r="D20" s="51" t="s">
        <v>39</v>
      </c>
      <c r="E20" s="46">
        <f>541678</f>
        <v>541678</v>
      </c>
      <c r="F20" s="47">
        <f>1405937.3</f>
        <v>1405937.3</v>
      </c>
      <c r="G20" s="47">
        <f>1427862</f>
        <v>1427862</v>
      </c>
      <c r="H20" s="48">
        <f>1332324.7</f>
        <v>1332324.7</v>
      </c>
      <c r="I20" s="49">
        <f>405420</f>
        <v>405420</v>
      </c>
      <c r="J20" s="50">
        <f>2114404</f>
        <v>2114404</v>
      </c>
      <c r="K20" s="49">
        <f>0</f>
        <v>0</v>
      </c>
      <c r="L20" s="49">
        <f>0</f>
        <v>0</v>
      </c>
    </row>
    <row r="21" spans="1:12" s="33" customFormat="1" ht="30" customHeight="1" outlineLevel="1">
      <c r="A21" s="34" t="s">
        <v>18</v>
      </c>
      <c r="B21" s="53">
        <v>2</v>
      </c>
      <c r="C21" s="54"/>
      <c r="D21" s="55" t="s">
        <v>40</v>
      </c>
      <c r="E21" s="56">
        <f>12920533.07</f>
        <v>12920533.07</v>
      </c>
      <c r="F21" s="57">
        <f>12835915.98</f>
        <v>12835915.98</v>
      </c>
      <c r="G21" s="57">
        <f>14239142.72</f>
        <v>14239142.720000001</v>
      </c>
      <c r="H21" s="58">
        <f>11481546.43</f>
        <v>11481546.43</v>
      </c>
      <c r="I21" s="59">
        <f>14402540.55</f>
        <v>14402540.550000001</v>
      </c>
      <c r="J21" s="60">
        <f>13502060.81</f>
        <v>13502060.810000001</v>
      </c>
      <c r="K21" s="59">
        <f>13000000</f>
        <v>13000000</v>
      </c>
      <c r="L21" s="59">
        <f>13130000</f>
        <v>13130000</v>
      </c>
    </row>
    <row r="22" spans="1:12" s="33" customFormat="1" ht="30" customHeight="1" outlineLevel="2">
      <c r="A22" s="34" t="s">
        <v>18</v>
      </c>
      <c r="B22" s="43" t="s">
        <v>41</v>
      </c>
      <c r="C22" s="44"/>
      <c r="D22" s="45" t="s">
        <v>42</v>
      </c>
      <c r="E22" s="46">
        <f>9426363.36</f>
        <v>9426363.3599999994</v>
      </c>
      <c r="F22" s="47">
        <f>9211865.66</f>
        <v>9211865.6600000001</v>
      </c>
      <c r="G22" s="47">
        <f>9236925.72</f>
        <v>9236925.7200000007</v>
      </c>
      <c r="H22" s="48">
        <f>9055670.43</f>
        <v>9055670.4299999997</v>
      </c>
      <c r="I22" s="49">
        <f>9316963.55</f>
        <v>9316963.5500000007</v>
      </c>
      <c r="J22" s="50">
        <f>9544222.62</f>
        <v>9544222.6199999992</v>
      </c>
      <c r="K22" s="49">
        <f>9776200</f>
        <v>9776200</v>
      </c>
      <c r="L22" s="49">
        <f>10024222.35</f>
        <v>10024222.35</v>
      </c>
    </row>
    <row r="23" spans="1:12" s="33" customFormat="1" ht="30" customHeight="1" outlineLevel="3">
      <c r="A23" s="34" t="s">
        <v>18</v>
      </c>
      <c r="B23" s="43" t="s">
        <v>43</v>
      </c>
      <c r="C23" s="44"/>
      <c r="D23" s="51" t="s">
        <v>44</v>
      </c>
      <c r="E23" s="46">
        <f>0</f>
        <v>0</v>
      </c>
      <c r="F23" s="47">
        <f>0</f>
        <v>0</v>
      </c>
      <c r="G23" s="47">
        <f>0</f>
        <v>0</v>
      </c>
      <c r="H23" s="48">
        <f>0</f>
        <v>0</v>
      </c>
      <c r="I23" s="49">
        <f>0</f>
        <v>0</v>
      </c>
      <c r="J23" s="50">
        <f>0</f>
        <v>0</v>
      </c>
      <c r="K23" s="49">
        <f>0</f>
        <v>0</v>
      </c>
      <c r="L23" s="49">
        <f>0</f>
        <v>0</v>
      </c>
    </row>
    <row r="24" spans="1:12" s="33" customFormat="1" ht="70.5" customHeight="1" outlineLevel="3">
      <c r="A24" s="34" t="s">
        <v>18</v>
      </c>
      <c r="B24" s="43" t="s">
        <v>45</v>
      </c>
      <c r="C24" s="44"/>
      <c r="D24" s="52" t="s">
        <v>46</v>
      </c>
      <c r="E24" s="46">
        <f>0</f>
        <v>0</v>
      </c>
      <c r="F24" s="47">
        <f>0</f>
        <v>0</v>
      </c>
      <c r="G24" s="47">
        <f>0</f>
        <v>0</v>
      </c>
      <c r="H24" s="48">
        <f>0</f>
        <v>0</v>
      </c>
      <c r="I24" s="49">
        <f>0</f>
        <v>0</v>
      </c>
      <c r="J24" s="50">
        <f>0</f>
        <v>0</v>
      </c>
      <c r="K24" s="49">
        <f>0</f>
        <v>0</v>
      </c>
      <c r="L24" s="49">
        <f>0</f>
        <v>0</v>
      </c>
    </row>
    <row r="25" spans="1:12" s="33" customFormat="1" ht="60.75" customHeight="1" outlineLevel="3">
      <c r="A25" s="34"/>
      <c r="B25" s="43" t="s">
        <v>47</v>
      </c>
      <c r="C25" s="44"/>
      <c r="D25" s="51" t="s">
        <v>48</v>
      </c>
      <c r="E25" s="61" t="s">
        <v>18</v>
      </c>
      <c r="F25" s="62" t="s">
        <v>18</v>
      </c>
      <c r="G25" s="62" t="s">
        <v>18</v>
      </c>
      <c r="H25" s="63" t="s">
        <v>18</v>
      </c>
      <c r="I25" s="49">
        <f>0</f>
        <v>0</v>
      </c>
      <c r="J25" s="50">
        <f>0</f>
        <v>0</v>
      </c>
      <c r="K25" s="49">
        <f>0</f>
        <v>0</v>
      </c>
      <c r="L25" s="49">
        <f>0</f>
        <v>0</v>
      </c>
    </row>
    <row r="26" spans="1:12" s="33" customFormat="1" ht="30" customHeight="1" outlineLevel="3">
      <c r="A26" s="34" t="s">
        <v>18</v>
      </c>
      <c r="B26" s="43" t="s">
        <v>49</v>
      </c>
      <c r="C26" s="44"/>
      <c r="D26" s="51" t="s">
        <v>50</v>
      </c>
      <c r="E26" s="46">
        <f>26131.11</f>
        <v>26131.11</v>
      </c>
      <c r="F26" s="47">
        <f>41411.77</f>
        <v>41411.769999999997</v>
      </c>
      <c r="G26" s="47">
        <f>110000</f>
        <v>110000</v>
      </c>
      <c r="H26" s="48">
        <f>84758.58</f>
        <v>84758.58</v>
      </c>
      <c r="I26" s="49">
        <f>100000</f>
        <v>100000</v>
      </c>
      <c r="J26" s="50">
        <f>90000</f>
        <v>90000</v>
      </c>
      <c r="K26" s="49">
        <f>0</f>
        <v>0</v>
      </c>
      <c r="L26" s="49">
        <f>0</f>
        <v>0</v>
      </c>
    </row>
    <row r="27" spans="1:12" s="33" customFormat="1" ht="30" customHeight="1" outlineLevel="3">
      <c r="A27" s="34" t="s">
        <v>18</v>
      </c>
      <c r="B27" s="43" t="s">
        <v>51</v>
      </c>
      <c r="C27" s="44"/>
      <c r="D27" s="52" t="s">
        <v>52</v>
      </c>
      <c r="E27" s="46">
        <f>19066.29</f>
        <v>19066.29</v>
      </c>
      <c r="F27" s="47">
        <f>38272.47</f>
        <v>38272.47</v>
      </c>
      <c r="G27" s="47">
        <f>100000</f>
        <v>100000</v>
      </c>
      <c r="H27" s="48">
        <f>83194.59</f>
        <v>83194.59</v>
      </c>
      <c r="I27" s="49">
        <f>95000</f>
        <v>95000</v>
      </c>
      <c r="J27" s="50">
        <f>90000</f>
        <v>90000</v>
      </c>
      <c r="K27" s="49">
        <f>0</f>
        <v>0</v>
      </c>
      <c r="L27" s="49">
        <f>0</f>
        <v>0</v>
      </c>
    </row>
    <row r="28" spans="1:12" s="33" customFormat="1" ht="30" customHeight="1" outlineLevel="2">
      <c r="A28" s="34" t="s">
        <v>18</v>
      </c>
      <c r="B28" s="43" t="s">
        <v>53</v>
      </c>
      <c r="C28" s="44"/>
      <c r="D28" s="45" t="s">
        <v>54</v>
      </c>
      <c r="E28" s="46">
        <f>3494169.71</f>
        <v>3494169.71</v>
      </c>
      <c r="F28" s="47">
        <f>3624050.32</f>
        <v>3624050.32</v>
      </c>
      <c r="G28" s="47">
        <f>5002217</f>
        <v>5002217</v>
      </c>
      <c r="H28" s="48">
        <f>2425876</f>
        <v>2425876</v>
      </c>
      <c r="I28" s="49">
        <f>5085577</f>
        <v>5085577</v>
      </c>
      <c r="J28" s="50">
        <f>3957838.19</f>
        <v>3957838.19</v>
      </c>
      <c r="K28" s="49">
        <f>3223800</f>
        <v>3223800</v>
      </c>
      <c r="L28" s="49">
        <f>3105777.65</f>
        <v>3105777.65</v>
      </c>
    </row>
    <row r="29" spans="1:12" s="33" customFormat="1" ht="30" customHeight="1" outlineLevel="1">
      <c r="A29" s="34" t="s">
        <v>18</v>
      </c>
      <c r="B29" s="53">
        <v>3</v>
      </c>
      <c r="C29" s="54"/>
      <c r="D29" s="55" t="s">
        <v>55</v>
      </c>
      <c r="E29" s="56">
        <f>-1277283.47</f>
        <v>-1277283.47</v>
      </c>
      <c r="F29" s="57">
        <f>-1100222.42</f>
        <v>-1100222.42</v>
      </c>
      <c r="G29" s="57">
        <f>-237000</f>
        <v>-237000</v>
      </c>
      <c r="H29" s="58">
        <f>2580481.72</f>
        <v>2580481.7200000002</v>
      </c>
      <c r="I29" s="59">
        <f>-1764597.6</f>
        <v>-1764597.6</v>
      </c>
      <c r="J29" s="60">
        <f>773956.19</f>
        <v>773956.19</v>
      </c>
      <c r="K29" s="59">
        <f>0</f>
        <v>0</v>
      </c>
      <c r="L29" s="59">
        <f>0</f>
        <v>0</v>
      </c>
    </row>
    <row r="30" spans="1:12" s="33" customFormat="1" ht="30" customHeight="1" outlineLevel="1">
      <c r="A30" s="34" t="s">
        <v>18</v>
      </c>
      <c r="B30" s="53">
        <v>4</v>
      </c>
      <c r="C30" s="54"/>
      <c r="D30" s="55" t="s">
        <v>56</v>
      </c>
      <c r="E30" s="56">
        <f>1700903.86</f>
        <v>1700903.86</v>
      </c>
      <c r="F30" s="57">
        <f>2625223.85</f>
        <v>2625223.85</v>
      </c>
      <c r="G30" s="57">
        <f>1554095.75</f>
        <v>1554095.75</v>
      </c>
      <c r="H30" s="58">
        <f>1050519.37</f>
        <v>1050519.3700000001</v>
      </c>
      <c r="I30" s="59">
        <f>2502119.06</f>
        <v>2502119.06</v>
      </c>
      <c r="J30" s="60">
        <f>0</f>
        <v>0</v>
      </c>
      <c r="K30" s="59">
        <f>0</f>
        <v>0</v>
      </c>
      <c r="L30" s="59">
        <f>0</f>
        <v>0</v>
      </c>
    </row>
    <row r="31" spans="1:12" s="33" customFormat="1" ht="30" customHeight="1" outlineLevel="2">
      <c r="A31" s="34" t="s">
        <v>18</v>
      </c>
      <c r="B31" s="43" t="s">
        <v>57</v>
      </c>
      <c r="C31" s="44"/>
      <c r="D31" s="45" t="s">
        <v>58</v>
      </c>
      <c r="E31" s="46">
        <f>727026.86</f>
        <v>727026.86</v>
      </c>
      <c r="F31" s="47">
        <f>0</f>
        <v>0</v>
      </c>
      <c r="G31" s="47">
        <f>0</f>
        <v>0</v>
      </c>
      <c r="H31" s="48">
        <f>0</f>
        <v>0</v>
      </c>
      <c r="I31" s="49">
        <f>965959.41</f>
        <v>965959.41</v>
      </c>
      <c r="J31" s="50">
        <f>0</f>
        <v>0</v>
      </c>
      <c r="K31" s="49">
        <f>0</f>
        <v>0</v>
      </c>
      <c r="L31" s="49">
        <f>0</f>
        <v>0</v>
      </c>
    </row>
    <row r="32" spans="1:12" s="33" customFormat="1" ht="30" customHeight="1" outlineLevel="3">
      <c r="A32" s="34" t="s">
        <v>18</v>
      </c>
      <c r="B32" s="43" t="s">
        <v>59</v>
      </c>
      <c r="C32" s="44"/>
      <c r="D32" s="51" t="s">
        <v>60</v>
      </c>
      <c r="E32" s="46">
        <f>489422</f>
        <v>489422</v>
      </c>
      <c r="F32" s="47">
        <f>0</f>
        <v>0</v>
      </c>
      <c r="G32" s="47">
        <f>0</f>
        <v>0</v>
      </c>
      <c r="H32" s="48">
        <f>0</f>
        <v>0</v>
      </c>
      <c r="I32" s="49">
        <f>253119.95</f>
        <v>253119.95</v>
      </c>
      <c r="J32" s="50">
        <f>0</f>
        <v>0</v>
      </c>
      <c r="K32" s="49">
        <f>0</f>
        <v>0</v>
      </c>
      <c r="L32" s="49">
        <f>0</f>
        <v>0</v>
      </c>
    </row>
    <row r="33" spans="1:12" s="33" customFormat="1" ht="30" customHeight="1" outlineLevel="2">
      <c r="A33" s="34" t="s">
        <v>18</v>
      </c>
      <c r="B33" s="43" t="s">
        <v>61</v>
      </c>
      <c r="C33" s="44"/>
      <c r="D33" s="45" t="s">
        <v>62</v>
      </c>
      <c r="E33" s="46">
        <f>421055</f>
        <v>421055</v>
      </c>
      <c r="F33" s="47">
        <f>186016.39</f>
        <v>186016.39</v>
      </c>
      <c r="G33" s="47">
        <f>902519.37</f>
        <v>902519.37</v>
      </c>
      <c r="H33" s="48">
        <f>902519.37</f>
        <v>902519.37</v>
      </c>
      <c r="I33" s="49">
        <f>1422477.65</f>
        <v>1422477.65</v>
      </c>
      <c r="J33" s="50">
        <f>0</f>
        <v>0</v>
      </c>
      <c r="K33" s="49">
        <f>0</f>
        <v>0</v>
      </c>
      <c r="L33" s="49">
        <f>0</f>
        <v>0</v>
      </c>
    </row>
    <row r="34" spans="1:12" s="33" customFormat="1" ht="30" customHeight="1" outlineLevel="3">
      <c r="A34" s="34" t="s">
        <v>18</v>
      </c>
      <c r="B34" s="43" t="s">
        <v>63</v>
      </c>
      <c r="C34" s="44"/>
      <c r="D34" s="51" t="s">
        <v>60</v>
      </c>
      <c r="E34" s="46">
        <f>4426.84</f>
        <v>4426.84</v>
      </c>
      <c r="F34" s="47">
        <f>0</f>
        <v>0</v>
      </c>
      <c r="G34" s="47">
        <f>0</f>
        <v>0</v>
      </c>
      <c r="H34" s="48">
        <f>0</f>
        <v>0</v>
      </c>
      <c r="I34" s="49">
        <f>1422477.65</f>
        <v>1422477.65</v>
      </c>
      <c r="J34" s="50">
        <f>0</f>
        <v>0</v>
      </c>
      <c r="K34" s="49">
        <f>0</f>
        <v>0</v>
      </c>
      <c r="L34" s="49">
        <f>0</f>
        <v>0</v>
      </c>
    </row>
    <row r="35" spans="1:12" s="33" customFormat="1" ht="30" customHeight="1" outlineLevel="2">
      <c r="A35" s="34" t="s">
        <v>18</v>
      </c>
      <c r="B35" s="43" t="s">
        <v>64</v>
      </c>
      <c r="C35" s="44"/>
      <c r="D35" s="45" t="s">
        <v>65</v>
      </c>
      <c r="E35" s="46">
        <f>552822</f>
        <v>552822</v>
      </c>
      <c r="F35" s="47">
        <f>2417813.74</f>
        <v>2417813.7400000002</v>
      </c>
      <c r="G35" s="47">
        <f>651576.38</f>
        <v>651576.38</v>
      </c>
      <c r="H35" s="48">
        <f>148000</f>
        <v>148000</v>
      </c>
      <c r="I35" s="49">
        <f>89000</f>
        <v>89000</v>
      </c>
      <c r="J35" s="50">
        <f>0</f>
        <v>0</v>
      </c>
      <c r="K35" s="49">
        <f>0</f>
        <v>0</v>
      </c>
      <c r="L35" s="49">
        <f>0</f>
        <v>0</v>
      </c>
    </row>
    <row r="36" spans="1:12" s="33" customFormat="1" ht="30" customHeight="1" outlineLevel="3">
      <c r="A36" s="34" t="s">
        <v>18</v>
      </c>
      <c r="B36" s="43" t="s">
        <v>66</v>
      </c>
      <c r="C36" s="44"/>
      <c r="D36" s="51" t="s">
        <v>60</v>
      </c>
      <c r="E36" s="46">
        <f>0</f>
        <v>0</v>
      </c>
      <c r="F36" s="47">
        <f>1100222.42</f>
        <v>1100222.42</v>
      </c>
      <c r="G36" s="47">
        <f>237000</f>
        <v>237000</v>
      </c>
      <c r="H36" s="48">
        <f>0</f>
        <v>0</v>
      </c>
      <c r="I36" s="49">
        <f>89000</f>
        <v>89000</v>
      </c>
      <c r="J36" s="50">
        <f>0</f>
        <v>0</v>
      </c>
      <c r="K36" s="49">
        <f>0</f>
        <v>0</v>
      </c>
      <c r="L36" s="49">
        <f>0</f>
        <v>0</v>
      </c>
    </row>
    <row r="37" spans="1:12" s="33" customFormat="1" ht="30" customHeight="1" outlineLevel="2">
      <c r="A37" s="34" t="s">
        <v>18</v>
      </c>
      <c r="B37" s="43" t="s">
        <v>67</v>
      </c>
      <c r="C37" s="44"/>
      <c r="D37" s="45" t="s">
        <v>68</v>
      </c>
      <c r="E37" s="46">
        <f>0</f>
        <v>0</v>
      </c>
      <c r="F37" s="47">
        <f>21393.72</f>
        <v>21393.72</v>
      </c>
      <c r="G37" s="47">
        <f>0</f>
        <v>0</v>
      </c>
      <c r="H37" s="48">
        <f>0</f>
        <v>0</v>
      </c>
      <c r="I37" s="49">
        <f>24682</f>
        <v>24682</v>
      </c>
      <c r="J37" s="50">
        <f>0</f>
        <v>0</v>
      </c>
      <c r="K37" s="49">
        <f>0</f>
        <v>0</v>
      </c>
      <c r="L37" s="49">
        <f>0</f>
        <v>0</v>
      </c>
    </row>
    <row r="38" spans="1:12" s="33" customFormat="1" ht="30" customHeight="1" outlineLevel="3">
      <c r="A38" s="34" t="s">
        <v>18</v>
      </c>
      <c r="B38" s="43" t="s">
        <v>69</v>
      </c>
      <c r="C38" s="44"/>
      <c r="D38" s="51" t="s">
        <v>60</v>
      </c>
      <c r="E38" s="46">
        <f>0</f>
        <v>0</v>
      </c>
      <c r="F38" s="47">
        <f>0</f>
        <v>0</v>
      </c>
      <c r="G38" s="47">
        <f>0</f>
        <v>0</v>
      </c>
      <c r="H38" s="48">
        <f>0</f>
        <v>0</v>
      </c>
      <c r="I38" s="49">
        <f>0</f>
        <v>0</v>
      </c>
      <c r="J38" s="50">
        <f>0</f>
        <v>0</v>
      </c>
      <c r="K38" s="49">
        <f>0</f>
        <v>0</v>
      </c>
      <c r="L38" s="49">
        <f>0</f>
        <v>0</v>
      </c>
    </row>
    <row r="39" spans="1:12" s="33" customFormat="1" ht="30" customHeight="1" outlineLevel="1">
      <c r="A39" s="34" t="s">
        <v>18</v>
      </c>
      <c r="B39" s="53">
        <v>5</v>
      </c>
      <c r="C39" s="54"/>
      <c r="D39" s="55" t="s">
        <v>70</v>
      </c>
      <c r="E39" s="56">
        <f>258997.72</f>
        <v>258997.72</v>
      </c>
      <c r="F39" s="57">
        <f>601088.34</f>
        <v>601088.34</v>
      </c>
      <c r="G39" s="57">
        <f>1317095.75</f>
        <v>1317095.75</v>
      </c>
      <c r="H39" s="58">
        <f>1303202.75</f>
        <v>1303202.75</v>
      </c>
      <c r="I39" s="59">
        <f>737521.46</f>
        <v>737521.46</v>
      </c>
      <c r="J39" s="60">
        <f>773956.19</f>
        <v>773956.19</v>
      </c>
      <c r="K39" s="59">
        <f>0</f>
        <v>0</v>
      </c>
      <c r="L39" s="59">
        <f>0</f>
        <v>0</v>
      </c>
    </row>
    <row r="40" spans="1:12" s="33" customFormat="1" ht="30" customHeight="1" outlineLevel="2">
      <c r="A40" s="34" t="s">
        <v>18</v>
      </c>
      <c r="B40" s="43" t="s">
        <v>71</v>
      </c>
      <c r="C40" s="44"/>
      <c r="D40" s="45" t="s">
        <v>72</v>
      </c>
      <c r="E40" s="46">
        <f>237604</f>
        <v>237604</v>
      </c>
      <c r="F40" s="47">
        <f>601088.34</f>
        <v>601088.34</v>
      </c>
      <c r="G40" s="47">
        <f>1278520.75</f>
        <v>1278520.75</v>
      </c>
      <c r="H40" s="48">
        <f>1278520.75</f>
        <v>1278520.75</v>
      </c>
      <c r="I40" s="49">
        <f>737521.46</f>
        <v>737521.46</v>
      </c>
      <c r="J40" s="50">
        <f>773956.19</f>
        <v>773956.19</v>
      </c>
      <c r="K40" s="49">
        <f>0</f>
        <v>0</v>
      </c>
      <c r="L40" s="49">
        <f>0</f>
        <v>0</v>
      </c>
    </row>
    <row r="41" spans="1:12" s="33" customFormat="1" ht="81.75" customHeight="1" outlineLevel="3">
      <c r="A41" s="34" t="s">
        <v>18</v>
      </c>
      <c r="B41" s="43" t="s">
        <v>73</v>
      </c>
      <c r="C41" s="44"/>
      <c r="D41" s="51" t="s">
        <v>74</v>
      </c>
      <c r="E41" s="46">
        <f>0</f>
        <v>0</v>
      </c>
      <c r="F41" s="47">
        <f>552822</f>
        <v>552822</v>
      </c>
      <c r="G41" s="47">
        <f>595645.15</f>
        <v>595645.15</v>
      </c>
      <c r="H41" s="48">
        <f>595645.15</f>
        <v>595645.15</v>
      </c>
      <c r="I41" s="49">
        <f>0</f>
        <v>0</v>
      </c>
      <c r="J41" s="50">
        <f>0</f>
        <v>0</v>
      </c>
      <c r="K41" s="49">
        <f>0</f>
        <v>0</v>
      </c>
      <c r="L41" s="49">
        <f>0</f>
        <v>0</v>
      </c>
    </row>
    <row r="42" spans="1:12" s="33" customFormat="1" ht="31.5" customHeight="1" outlineLevel="3">
      <c r="A42" s="34" t="s">
        <v>18</v>
      </c>
      <c r="B42" s="43" t="s">
        <v>75</v>
      </c>
      <c r="C42" s="44"/>
      <c r="D42" s="52" t="s">
        <v>76</v>
      </c>
      <c r="E42" s="46">
        <f>0</f>
        <v>0</v>
      </c>
      <c r="F42" s="47">
        <f>552822</f>
        <v>552822</v>
      </c>
      <c r="G42" s="47">
        <f>595645.15</f>
        <v>595645.15</v>
      </c>
      <c r="H42" s="48">
        <f>595645.15</f>
        <v>595645.15</v>
      </c>
      <c r="I42" s="49">
        <f>0</f>
        <v>0</v>
      </c>
      <c r="J42" s="50">
        <f>0</f>
        <v>0</v>
      </c>
      <c r="K42" s="49">
        <f>0</f>
        <v>0</v>
      </c>
      <c r="L42" s="49">
        <f>0</f>
        <v>0</v>
      </c>
    </row>
    <row r="43" spans="1:12" s="33" customFormat="1" ht="30" customHeight="1" outlineLevel="2">
      <c r="A43" s="34"/>
      <c r="B43" s="43" t="s">
        <v>77</v>
      </c>
      <c r="C43" s="44"/>
      <c r="D43" s="45" t="s">
        <v>78</v>
      </c>
      <c r="E43" s="46">
        <f>21393.72</f>
        <v>21393.72</v>
      </c>
      <c r="F43" s="47">
        <f>0</f>
        <v>0</v>
      </c>
      <c r="G43" s="47">
        <f>38575</f>
        <v>38575</v>
      </c>
      <c r="H43" s="48">
        <f>24682</f>
        <v>24682</v>
      </c>
      <c r="I43" s="49">
        <f>0</f>
        <v>0</v>
      </c>
      <c r="J43" s="50">
        <f>0</f>
        <v>0</v>
      </c>
      <c r="K43" s="49">
        <f>0</f>
        <v>0</v>
      </c>
      <c r="L43" s="49">
        <f>0</f>
        <v>0</v>
      </c>
    </row>
    <row r="44" spans="1:12" s="33" customFormat="1" ht="30" customHeight="1" outlineLevel="1">
      <c r="A44" s="34" t="s">
        <v>18</v>
      </c>
      <c r="B44" s="53">
        <v>6</v>
      </c>
      <c r="C44" s="54"/>
      <c r="D44" s="55" t="s">
        <v>79</v>
      </c>
      <c r="E44" s="56">
        <f>736273</f>
        <v>736273</v>
      </c>
      <c r="F44" s="57">
        <f>2552998.4</f>
        <v>2552998.4</v>
      </c>
      <c r="G44" s="57">
        <f>1926054.03</f>
        <v>1926054.03</v>
      </c>
      <c r="H44" s="58">
        <f>1422477.65</f>
        <v>1422477.65</v>
      </c>
      <c r="I44" s="59">
        <f>773956.19</f>
        <v>773956.19</v>
      </c>
      <c r="J44" s="60">
        <f>0</f>
        <v>0</v>
      </c>
      <c r="K44" s="59">
        <f>0</f>
        <v>0</v>
      </c>
      <c r="L44" s="59">
        <f>0</f>
        <v>0</v>
      </c>
    </row>
    <row r="45" spans="1:12" s="33" customFormat="1" ht="39.75" customHeight="1" outlineLevel="2">
      <c r="A45" s="34"/>
      <c r="B45" s="43" t="s">
        <v>80</v>
      </c>
      <c r="C45" s="44"/>
      <c r="D45" s="45" t="s">
        <v>81</v>
      </c>
      <c r="E45" s="46">
        <f>0</f>
        <v>0</v>
      </c>
      <c r="F45" s="47">
        <f>0</f>
        <v>0</v>
      </c>
      <c r="G45" s="47">
        <f>0</f>
        <v>0</v>
      </c>
      <c r="H45" s="48">
        <f>0</f>
        <v>0</v>
      </c>
      <c r="I45" s="49">
        <f>0</f>
        <v>0</v>
      </c>
      <c r="J45" s="50">
        <f>0</f>
        <v>0</v>
      </c>
      <c r="K45" s="49">
        <f>0</f>
        <v>0</v>
      </c>
      <c r="L45" s="49">
        <f>0</f>
        <v>0</v>
      </c>
    </row>
    <row r="46" spans="1:12" s="33" customFormat="1" ht="29.25" customHeight="1" outlineLevel="3">
      <c r="A46" s="34"/>
      <c r="B46" s="43" t="s">
        <v>82</v>
      </c>
      <c r="C46" s="44"/>
      <c r="D46" s="51" t="s">
        <v>83</v>
      </c>
      <c r="E46" s="46">
        <f>552822</f>
        <v>552822</v>
      </c>
      <c r="F46" s="47">
        <f>595645.15</f>
        <v>595645.15</v>
      </c>
      <c r="G46" s="47">
        <f>0</f>
        <v>0</v>
      </c>
      <c r="H46" s="48">
        <f>0</f>
        <v>0</v>
      </c>
      <c r="I46" s="49">
        <f>0</f>
        <v>0</v>
      </c>
      <c r="J46" s="50">
        <f>0</f>
        <v>0</v>
      </c>
      <c r="K46" s="49">
        <f>0</f>
        <v>0</v>
      </c>
      <c r="L46" s="49">
        <f>0</f>
        <v>0</v>
      </c>
    </row>
    <row r="47" spans="1:12" s="33" customFormat="1" ht="32.25" customHeight="1" outlineLevel="2">
      <c r="A47" s="34"/>
      <c r="B47" s="43" t="s">
        <v>84</v>
      </c>
      <c r="C47" s="44"/>
      <c r="D47" s="45" t="s">
        <v>85</v>
      </c>
      <c r="E47" s="64">
        <f>0.0632</f>
        <v>6.3200000000000006E-2</v>
      </c>
      <c r="F47" s="65">
        <f>0.2175</f>
        <v>0.2175</v>
      </c>
      <c r="G47" s="65">
        <f>0.1376</f>
        <v>0.1376</v>
      </c>
      <c r="H47" s="66">
        <f>0.1012</f>
        <v>0.1012</v>
      </c>
      <c r="I47" s="67">
        <f>0.0612</f>
        <v>6.1199999999999997E-2</v>
      </c>
      <c r="J47" s="68">
        <f>0</f>
        <v>0</v>
      </c>
      <c r="K47" s="67">
        <f>0</f>
        <v>0</v>
      </c>
      <c r="L47" s="67">
        <f>0</f>
        <v>0</v>
      </c>
    </row>
    <row r="48" spans="1:12" s="33" customFormat="1" ht="37.5" customHeight="1" outlineLevel="2">
      <c r="A48" s="34"/>
      <c r="B48" s="43" t="s">
        <v>86</v>
      </c>
      <c r="C48" s="44"/>
      <c r="D48" s="45" t="s">
        <v>87</v>
      </c>
      <c r="E48" s="64">
        <f>0.0632</f>
        <v>6.3200000000000006E-2</v>
      </c>
      <c r="F48" s="65">
        <f>0.2175</f>
        <v>0.2175</v>
      </c>
      <c r="G48" s="65">
        <f>0.1376</f>
        <v>0.1376</v>
      </c>
      <c r="H48" s="66">
        <f>0.1012</f>
        <v>0.1012</v>
      </c>
      <c r="I48" s="67">
        <f>0.0612</f>
        <v>6.1199999999999997E-2</v>
      </c>
      <c r="J48" s="68">
        <f>0</f>
        <v>0</v>
      </c>
      <c r="K48" s="67">
        <f>0</f>
        <v>0</v>
      </c>
      <c r="L48" s="67">
        <f>0</f>
        <v>0</v>
      </c>
    </row>
    <row r="49" spans="1:12" s="33" customFormat="1" ht="48" customHeight="1" outlineLevel="1">
      <c r="A49" s="34"/>
      <c r="B49" s="53">
        <v>7</v>
      </c>
      <c r="C49" s="54"/>
      <c r="D49" s="55" t="s">
        <v>88</v>
      </c>
      <c r="E49" s="56">
        <f>0</f>
        <v>0</v>
      </c>
      <c r="F49" s="57">
        <f>0</f>
        <v>0</v>
      </c>
      <c r="G49" s="57">
        <f>0</f>
        <v>0</v>
      </c>
      <c r="H49" s="58">
        <f>0</f>
        <v>0</v>
      </c>
      <c r="I49" s="59">
        <f>0</f>
        <v>0</v>
      </c>
      <c r="J49" s="60">
        <f>0</f>
        <v>0</v>
      </c>
      <c r="K49" s="59">
        <f>0</f>
        <v>0</v>
      </c>
      <c r="L49" s="59">
        <f>0</f>
        <v>0</v>
      </c>
    </row>
    <row r="50" spans="1:12" s="33" customFormat="1" ht="30" customHeight="1" outlineLevel="1">
      <c r="A50" s="34"/>
      <c r="B50" s="53">
        <v>8</v>
      </c>
      <c r="C50" s="54"/>
      <c r="D50" s="55" t="s">
        <v>89</v>
      </c>
      <c r="E50" s="69" t="s">
        <v>18</v>
      </c>
      <c r="F50" s="70" t="s">
        <v>18</v>
      </c>
      <c r="G50" s="70" t="s">
        <v>18</v>
      </c>
      <c r="H50" s="71" t="s">
        <v>18</v>
      </c>
      <c r="I50" s="72" t="s">
        <v>18</v>
      </c>
      <c r="J50" s="73" t="s">
        <v>18</v>
      </c>
      <c r="K50" s="72" t="s">
        <v>18</v>
      </c>
      <c r="L50" s="72" t="s">
        <v>18</v>
      </c>
    </row>
    <row r="51" spans="1:12" s="33" customFormat="1" ht="30" customHeight="1" outlineLevel="2">
      <c r="A51" s="34"/>
      <c r="B51" s="43" t="s">
        <v>90</v>
      </c>
      <c r="C51" s="44"/>
      <c r="D51" s="45" t="s">
        <v>91</v>
      </c>
      <c r="E51" s="46">
        <f>1155057.75</f>
        <v>1155057.75</v>
      </c>
      <c r="F51" s="47">
        <f>975297.61</f>
        <v>975297.61</v>
      </c>
      <c r="G51" s="47">
        <f>3264855</f>
        <v>3264855</v>
      </c>
      <c r="H51" s="48">
        <f>3604694.11</f>
        <v>3604694.11</v>
      </c>
      <c r="I51" s="49">
        <f>2584259.4</f>
        <v>2584259.4</v>
      </c>
      <c r="J51" s="50">
        <f>2617390.38</f>
        <v>2617390.38</v>
      </c>
      <c r="K51" s="49">
        <f>3223800</f>
        <v>3223800</v>
      </c>
      <c r="L51" s="49">
        <f>3105777.65</f>
        <v>3105777.65</v>
      </c>
    </row>
    <row r="52" spans="1:12" s="33" customFormat="1" ht="46.5" customHeight="1" outlineLevel="2">
      <c r="A52" s="34"/>
      <c r="B52" s="43" t="s">
        <v>92</v>
      </c>
      <c r="C52" s="44"/>
      <c r="D52" s="45" t="s">
        <v>93</v>
      </c>
      <c r="E52" s="46">
        <f>2303139.61</f>
        <v>2303139.61</v>
      </c>
      <c r="F52" s="47">
        <f>1161314</f>
        <v>1161314</v>
      </c>
      <c r="G52" s="47">
        <f>4167374.37</f>
        <v>4167374.37</v>
      </c>
      <c r="H52" s="48">
        <f>4507213.48</f>
        <v>4507213.4800000004</v>
      </c>
      <c r="I52" s="49">
        <f>4972696.46</f>
        <v>4972696.46</v>
      </c>
      <c r="J52" s="50">
        <f>2617390.38</f>
        <v>2617390.38</v>
      </c>
      <c r="K52" s="49">
        <f>3223800</f>
        <v>3223800</v>
      </c>
      <c r="L52" s="49">
        <f>3105777.65</f>
        <v>3105777.65</v>
      </c>
    </row>
    <row r="53" spans="1:12" s="33" customFormat="1" ht="30" customHeight="1" outlineLevel="1">
      <c r="A53" s="34" t="s">
        <v>18</v>
      </c>
      <c r="B53" s="53">
        <v>9</v>
      </c>
      <c r="C53" s="54"/>
      <c r="D53" s="55" t="s">
        <v>94</v>
      </c>
      <c r="E53" s="69" t="s">
        <v>18</v>
      </c>
      <c r="F53" s="70" t="s">
        <v>18</v>
      </c>
      <c r="G53" s="70" t="s">
        <v>18</v>
      </c>
      <c r="H53" s="71" t="s">
        <v>18</v>
      </c>
      <c r="I53" s="72" t="s">
        <v>18</v>
      </c>
      <c r="J53" s="73" t="s">
        <v>18</v>
      </c>
      <c r="K53" s="72" t="s">
        <v>18</v>
      </c>
      <c r="L53" s="72" t="s">
        <v>18</v>
      </c>
    </row>
    <row r="54" spans="1:12" s="33" customFormat="1" ht="40.5" customHeight="1" outlineLevel="2">
      <c r="A54" s="34"/>
      <c r="B54" s="43" t="s">
        <v>95</v>
      </c>
      <c r="C54" s="44"/>
      <c r="D54" s="45" t="s">
        <v>96</v>
      </c>
      <c r="E54" s="64">
        <f>0.022</f>
        <v>2.1999999999999999E-2</v>
      </c>
      <c r="F54" s="65">
        <f>0.0545</f>
        <v>5.45E-2</v>
      </c>
      <c r="G54" s="65">
        <f>0.0985</f>
        <v>9.8500000000000004E-2</v>
      </c>
      <c r="H54" s="66">
        <f>0.0968</f>
        <v>9.6799999999999997E-2</v>
      </c>
      <c r="I54" s="67">
        <f>0.0659</f>
        <v>6.59E-2</v>
      </c>
      <c r="J54" s="68">
        <f>0.0605</f>
        <v>6.0499999999999998E-2</v>
      </c>
      <c r="K54" s="67">
        <f>0</f>
        <v>0</v>
      </c>
      <c r="L54" s="67">
        <f>0</f>
        <v>0</v>
      </c>
    </row>
    <row r="55" spans="1:12" s="33" customFormat="1" ht="51" customHeight="1" outlineLevel="2">
      <c r="A55" s="34"/>
      <c r="B55" s="43" t="s">
        <v>97</v>
      </c>
      <c r="C55" s="44"/>
      <c r="D55" s="45" t="s">
        <v>98</v>
      </c>
      <c r="E55" s="64">
        <f>0.022</f>
        <v>2.1999999999999999E-2</v>
      </c>
      <c r="F55" s="65">
        <f>0.0074</f>
        <v>7.4000000000000003E-3</v>
      </c>
      <c r="G55" s="65">
        <f>0.0559</f>
        <v>5.5899999999999998E-2</v>
      </c>
      <c r="H55" s="66">
        <f>0.0545</f>
        <v>5.45E-2</v>
      </c>
      <c r="I55" s="67">
        <f>0.0659</f>
        <v>6.59E-2</v>
      </c>
      <c r="J55" s="68">
        <f>0.0605</f>
        <v>6.0499999999999998E-2</v>
      </c>
      <c r="K55" s="67">
        <f>0</f>
        <v>0</v>
      </c>
      <c r="L55" s="67">
        <f>0</f>
        <v>0</v>
      </c>
    </row>
    <row r="56" spans="1:12" s="33" customFormat="1" ht="68.25" customHeight="1" outlineLevel="2">
      <c r="A56" s="34" t="s">
        <v>18</v>
      </c>
      <c r="B56" s="43" t="s">
        <v>99</v>
      </c>
      <c r="C56" s="44"/>
      <c r="D56" s="45" t="s">
        <v>100</v>
      </c>
      <c r="E56" s="64">
        <f>0.022</f>
        <v>2.1999999999999999E-2</v>
      </c>
      <c r="F56" s="65">
        <f>0.0545</f>
        <v>5.45E-2</v>
      </c>
      <c r="G56" s="65">
        <f>0.0985</f>
        <v>9.8500000000000004E-2</v>
      </c>
      <c r="H56" s="66">
        <f>0.0968</f>
        <v>9.6799999999999997E-2</v>
      </c>
      <c r="I56" s="67">
        <f>0.0659</f>
        <v>6.59E-2</v>
      </c>
      <c r="J56" s="68">
        <f>0.0605</f>
        <v>6.0499999999999998E-2</v>
      </c>
      <c r="K56" s="67">
        <f>0</f>
        <v>0</v>
      </c>
      <c r="L56" s="67">
        <f>0</f>
        <v>0</v>
      </c>
    </row>
    <row r="57" spans="1:12" s="33" customFormat="1" ht="63" customHeight="1" outlineLevel="2">
      <c r="A57" s="34" t="s">
        <v>18</v>
      </c>
      <c r="B57" s="43" t="s">
        <v>101</v>
      </c>
      <c r="C57" s="44"/>
      <c r="D57" s="45" t="s">
        <v>102</v>
      </c>
      <c r="E57" s="64">
        <f>0.022</f>
        <v>2.1999999999999999E-2</v>
      </c>
      <c r="F57" s="65">
        <f>0.0074</f>
        <v>7.4000000000000003E-3</v>
      </c>
      <c r="G57" s="65">
        <f>0.0559</f>
        <v>5.5899999999999998E-2</v>
      </c>
      <c r="H57" s="66">
        <f>0.0545</f>
        <v>5.45E-2</v>
      </c>
      <c r="I57" s="67">
        <f>0.0659</f>
        <v>6.59E-2</v>
      </c>
      <c r="J57" s="68">
        <f>0.0605</f>
        <v>6.0499999999999998E-2</v>
      </c>
      <c r="K57" s="67">
        <f>0</f>
        <v>0</v>
      </c>
      <c r="L57" s="67">
        <f>0</f>
        <v>0</v>
      </c>
    </row>
    <row r="58" spans="1:12" s="33" customFormat="1" ht="54" customHeight="1" outlineLevel="2">
      <c r="A58" s="34" t="s">
        <v>18</v>
      </c>
      <c r="B58" s="43" t="s">
        <v>103</v>
      </c>
      <c r="C58" s="44"/>
      <c r="D58" s="45" t="s">
        <v>104</v>
      </c>
      <c r="E58" s="46">
        <f>0</f>
        <v>0</v>
      </c>
      <c r="F58" s="47">
        <f>0</f>
        <v>0</v>
      </c>
      <c r="G58" s="47">
        <f>0</f>
        <v>0</v>
      </c>
      <c r="H58" s="48">
        <f>0</f>
        <v>0</v>
      </c>
      <c r="I58" s="49">
        <f>0</f>
        <v>0</v>
      </c>
      <c r="J58" s="50">
        <f>0</f>
        <v>0</v>
      </c>
      <c r="K58" s="49">
        <f>0</f>
        <v>0</v>
      </c>
      <c r="L58" s="49">
        <f>0</f>
        <v>0</v>
      </c>
    </row>
    <row r="59" spans="1:12" s="33" customFormat="1" ht="70.5" customHeight="1" outlineLevel="2">
      <c r="A59" s="34" t="s">
        <v>18</v>
      </c>
      <c r="B59" s="43" t="s">
        <v>105</v>
      </c>
      <c r="C59" s="44"/>
      <c r="D59" s="45" t="s">
        <v>106</v>
      </c>
      <c r="E59" s="64">
        <f>0.022</f>
        <v>2.1999999999999999E-2</v>
      </c>
      <c r="F59" s="65">
        <f>0.0074</f>
        <v>7.4000000000000003E-3</v>
      </c>
      <c r="G59" s="65">
        <f>0.0559</f>
        <v>5.5899999999999998E-2</v>
      </c>
      <c r="H59" s="66">
        <f>0.0545</f>
        <v>5.45E-2</v>
      </c>
      <c r="I59" s="67">
        <f>0.0659</f>
        <v>6.59E-2</v>
      </c>
      <c r="J59" s="68">
        <f>0.0605</f>
        <v>6.0499999999999998E-2</v>
      </c>
      <c r="K59" s="67">
        <f>0</f>
        <v>0</v>
      </c>
      <c r="L59" s="67">
        <f>0</f>
        <v>0</v>
      </c>
    </row>
    <row r="60" spans="1:12" s="33" customFormat="1" ht="28.5" customHeight="1" outlineLevel="3">
      <c r="A60" s="34" t="s">
        <v>18</v>
      </c>
      <c r="B60" s="74" t="s">
        <v>107</v>
      </c>
      <c r="C60" s="75"/>
      <c r="D60" s="76" t="s">
        <v>108</v>
      </c>
      <c r="E60" s="64">
        <f t="shared" ref="E60:L60" si="0">+IF(E10&lt;&gt;0,(E11+E19-E22)/E10,0)</f>
        <v>0.12661216847915036</v>
      </c>
      <c r="F60" s="65">
        <f t="shared" si="0"/>
        <v>9.5076664561442384E-2</v>
      </c>
      <c r="G60" s="65">
        <f t="shared" si="0"/>
        <v>0.23816747669888055</v>
      </c>
      <c r="H60" s="66">
        <f t="shared" si="0"/>
        <v>0.26125200296942935</v>
      </c>
      <c r="I60" s="67">
        <f t="shared" si="0"/>
        <v>0.2305960243316337</v>
      </c>
      <c r="J60" s="68">
        <f t="shared" si="0"/>
        <v>0.18334178083424815</v>
      </c>
      <c r="K60" s="67">
        <f t="shared" si="0"/>
        <v>0.24798461538461539</v>
      </c>
      <c r="L60" s="67">
        <f t="shared" si="0"/>
        <v>0.23654056740289417</v>
      </c>
    </row>
    <row r="61" spans="1:12" s="33" customFormat="1" ht="61.5" customHeight="1" outlineLevel="2">
      <c r="A61" s="34" t="s">
        <v>18</v>
      </c>
      <c r="B61" s="43" t="s">
        <v>109</v>
      </c>
      <c r="C61" s="44"/>
      <c r="D61" s="45" t="s">
        <v>110</v>
      </c>
      <c r="E61" s="69" t="s">
        <v>18</v>
      </c>
      <c r="F61" s="70" t="s">
        <v>18</v>
      </c>
      <c r="G61" s="70" t="s">
        <v>18</v>
      </c>
      <c r="H61" s="71" t="s">
        <v>18</v>
      </c>
      <c r="I61" s="67">
        <f>0.1533</f>
        <v>0.15329999999999999</v>
      </c>
      <c r="J61" s="68">
        <f>0.188</f>
        <v>0.188</v>
      </c>
      <c r="K61" s="67">
        <f>0.2174</f>
        <v>0.21740000000000001</v>
      </c>
      <c r="L61" s="67">
        <f>0.2206</f>
        <v>0.22059999999999999</v>
      </c>
    </row>
    <row r="62" spans="1:12" s="33" customFormat="1" ht="67.5" customHeight="1" outlineLevel="2">
      <c r="A62" s="34" t="s">
        <v>18</v>
      </c>
      <c r="B62" s="43" t="s">
        <v>111</v>
      </c>
      <c r="C62" s="44"/>
      <c r="D62" s="51" t="s">
        <v>112</v>
      </c>
      <c r="E62" s="69" t="s">
        <v>18</v>
      </c>
      <c r="F62" s="70" t="s">
        <v>18</v>
      </c>
      <c r="G62" s="70" t="s">
        <v>18</v>
      </c>
      <c r="H62" s="71" t="s">
        <v>18</v>
      </c>
      <c r="I62" s="67">
        <f>0.161</f>
        <v>0.161</v>
      </c>
      <c r="J62" s="68">
        <f>0.1957</f>
        <v>0.19570000000000001</v>
      </c>
      <c r="K62" s="67">
        <f>0.2251</f>
        <v>0.22509999999999999</v>
      </c>
      <c r="L62" s="67">
        <f>0.2206</f>
        <v>0.22059999999999999</v>
      </c>
    </row>
    <row r="63" spans="1:12" s="33" customFormat="1" ht="75.75" customHeight="1" outlineLevel="2">
      <c r="A63" s="34" t="s">
        <v>18</v>
      </c>
      <c r="B63" s="43" t="s">
        <v>113</v>
      </c>
      <c r="C63" s="44"/>
      <c r="D63" s="45" t="s">
        <v>114</v>
      </c>
      <c r="E63" s="69" t="s">
        <v>18</v>
      </c>
      <c r="F63" s="70" t="s">
        <v>18</v>
      </c>
      <c r="G63" s="70" t="s">
        <v>18</v>
      </c>
      <c r="H63" s="71" t="s">
        <v>18</v>
      </c>
      <c r="I63" s="77" t="str">
        <f>IF(I59&lt;=I61,"Spełniona","Nie spełniona")</f>
        <v>Spełniona</v>
      </c>
      <c r="J63" s="78" t="str">
        <f>IF(J59&lt;=J61,"Spełniona","Nie spełniona")</f>
        <v>Spełniona</v>
      </c>
      <c r="K63" s="77" t="str">
        <f>IF(K59&lt;=K61,"Spełniona","Nie spełniona")</f>
        <v>Spełniona</v>
      </c>
      <c r="L63" s="77" t="str">
        <f>IF(L59&lt;=L61,"Spełniona","Nie spełniona")</f>
        <v>Spełniona</v>
      </c>
    </row>
    <row r="64" spans="1:12" s="33" customFormat="1" ht="70.5" customHeight="1" outlineLevel="2">
      <c r="A64" s="34" t="s">
        <v>18</v>
      </c>
      <c r="B64" s="43" t="s">
        <v>115</v>
      </c>
      <c r="C64" s="44"/>
      <c r="D64" s="51" t="s">
        <v>114</v>
      </c>
      <c r="E64" s="69" t="s">
        <v>18</v>
      </c>
      <c r="F64" s="70" t="s">
        <v>18</v>
      </c>
      <c r="G64" s="70" t="s">
        <v>18</v>
      </c>
      <c r="H64" s="71" t="s">
        <v>18</v>
      </c>
      <c r="I64" s="77" t="str">
        <f>IF(I59&lt;=I62,"Spełniona","Nie spełniona")</f>
        <v>Spełniona</v>
      </c>
      <c r="J64" s="78" t="str">
        <f>IF(J59&lt;=J62,"Spełniona","Nie spełniona")</f>
        <v>Spełniona</v>
      </c>
      <c r="K64" s="77" t="str">
        <f>IF(K59&lt;=K62,"Spełniona","Nie spełniona")</f>
        <v>Spełniona</v>
      </c>
      <c r="L64" s="77" t="str">
        <f>IF(L59&lt;=L62,"Spełniona","Nie spełniona")</f>
        <v>Spełniona</v>
      </c>
    </row>
    <row r="65" spans="1:12" s="33" customFormat="1" ht="30" customHeight="1" outlineLevel="1">
      <c r="A65" s="34"/>
      <c r="B65" s="53">
        <v>10</v>
      </c>
      <c r="C65" s="54"/>
      <c r="D65" s="55" t="s">
        <v>116</v>
      </c>
      <c r="E65" s="56">
        <f>0</f>
        <v>0</v>
      </c>
      <c r="F65" s="57">
        <f>0</f>
        <v>0</v>
      </c>
      <c r="G65" s="57">
        <f>0</f>
        <v>0</v>
      </c>
      <c r="H65" s="58">
        <f>2580481.72</f>
        <v>2580481.7200000002</v>
      </c>
      <c r="I65" s="59">
        <f>0</f>
        <v>0</v>
      </c>
      <c r="J65" s="60">
        <f>773956.19</f>
        <v>773956.19</v>
      </c>
      <c r="K65" s="59">
        <v>0</v>
      </c>
      <c r="L65" s="59">
        <v>0</v>
      </c>
    </row>
    <row r="66" spans="1:12" s="33" customFormat="1" ht="30" customHeight="1" outlineLevel="2">
      <c r="A66" s="34"/>
      <c r="B66" s="43" t="s">
        <v>117</v>
      </c>
      <c r="C66" s="44"/>
      <c r="D66" s="45" t="s">
        <v>118</v>
      </c>
      <c r="E66" s="46">
        <f>0</f>
        <v>0</v>
      </c>
      <c r="F66" s="47">
        <f>0</f>
        <v>0</v>
      </c>
      <c r="G66" s="47">
        <f>0</f>
        <v>0</v>
      </c>
      <c r="H66" s="48">
        <f>0</f>
        <v>0</v>
      </c>
      <c r="I66" s="49">
        <f>0</f>
        <v>0</v>
      </c>
      <c r="J66" s="50">
        <f>773956.19</f>
        <v>773956.19</v>
      </c>
      <c r="K66" s="49">
        <f>0</f>
        <v>0</v>
      </c>
      <c r="L66" s="49">
        <f>0</f>
        <v>0</v>
      </c>
    </row>
    <row r="67" spans="1:12" s="33" customFormat="1" ht="30" customHeight="1" outlineLevel="1">
      <c r="A67" s="34"/>
      <c r="B67" s="53">
        <v>11</v>
      </c>
      <c r="C67" s="54"/>
      <c r="D67" s="55" t="s">
        <v>119</v>
      </c>
      <c r="E67" s="69" t="s">
        <v>18</v>
      </c>
      <c r="F67" s="70" t="s">
        <v>18</v>
      </c>
      <c r="G67" s="70" t="s">
        <v>18</v>
      </c>
      <c r="H67" s="71" t="s">
        <v>18</v>
      </c>
      <c r="I67" s="72" t="s">
        <v>18</v>
      </c>
      <c r="J67" s="73" t="s">
        <v>18</v>
      </c>
      <c r="K67" s="72" t="s">
        <v>18</v>
      </c>
      <c r="L67" s="72" t="s">
        <v>18</v>
      </c>
    </row>
    <row r="68" spans="1:12" s="33" customFormat="1" ht="30" customHeight="1" outlineLevel="2">
      <c r="A68" s="34"/>
      <c r="B68" s="43" t="s">
        <v>120</v>
      </c>
      <c r="C68" s="44"/>
      <c r="D68" s="45" t="s">
        <v>121</v>
      </c>
      <c r="E68" s="46">
        <f>4218869.37</f>
        <v>4218869.37</v>
      </c>
      <c r="F68" s="47">
        <f>4441226.62</f>
        <v>4441226.62</v>
      </c>
      <c r="G68" s="47">
        <f>4266042.72</f>
        <v>4266042.72</v>
      </c>
      <c r="H68" s="48">
        <f>4171528.09</f>
        <v>4171528.09</v>
      </c>
      <c r="I68" s="49">
        <f>4407500</f>
        <v>4407500</v>
      </c>
      <c r="J68" s="50">
        <f>4508872</f>
        <v>4508872</v>
      </c>
      <c r="K68" s="49">
        <f>4621594</f>
        <v>4621594</v>
      </c>
      <c r="L68" s="49">
        <f>4737133</f>
        <v>4737133</v>
      </c>
    </row>
    <row r="69" spans="1:12" s="33" customFormat="1" ht="30" customHeight="1" outlineLevel="2">
      <c r="A69" s="34"/>
      <c r="B69" s="43" t="s">
        <v>122</v>
      </c>
      <c r="C69" s="44"/>
      <c r="D69" s="45" t="s">
        <v>123</v>
      </c>
      <c r="E69" s="46">
        <f>1320339</f>
        <v>1320339</v>
      </c>
      <c r="F69" s="47">
        <f>1397090.95</f>
        <v>1397090.95</v>
      </c>
      <c r="G69" s="47">
        <f>1447127</f>
        <v>1447127</v>
      </c>
      <c r="H69" s="48">
        <f>1438877.18</f>
        <v>1438877.18</v>
      </c>
      <c r="I69" s="49">
        <f>1491519</f>
        <v>1491519</v>
      </c>
      <c r="J69" s="50">
        <f>1525824</f>
        <v>1525824</v>
      </c>
      <c r="K69" s="49">
        <f>1563970</f>
        <v>1563970</v>
      </c>
      <c r="L69" s="49">
        <f>1603070</f>
        <v>1603070</v>
      </c>
    </row>
    <row r="70" spans="1:12" s="33" customFormat="1" ht="30" customHeight="1" outlineLevel="2">
      <c r="A70" s="34"/>
      <c r="B70" s="43" t="s">
        <v>124</v>
      </c>
      <c r="C70" s="44"/>
      <c r="D70" s="45" t="s">
        <v>125</v>
      </c>
      <c r="E70" s="46">
        <f>1970443.73</f>
        <v>1970443.73</v>
      </c>
      <c r="F70" s="47">
        <f>1480853.69</f>
        <v>1480853.69</v>
      </c>
      <c r="G70" s="47">
        <f>2558858.61</f>
        <v>2558858.61</v>
      </c>
      <c r="H70" s="48">
        <f>718974.51</f>
        <v>718974.51</v>
      </c>
      <c r="I70" s="49">
        <f>3469644</f>
        <v>3469644</v>
      </c>
      <c r="J70" s="50">
        <f>0</f>
        <v>0</v>
      </c>
      <c r="K70" s="49">
        <f>0</f>
        <v>0</v>
      </c>
      <c r="L70" s="49">
        <f>0</f>
        <v>0</v>
      </c>
    </row>
    <row r="71" spans="1:12" s="33" customFormat="1" ht="30" customHeight="1" outlineLevel="3">
      <c r="A71" s="34"/>
      <c r="B71" s="43" t="s">
        <v>126</v>
      </c>
      <c r="C71" s="44"/>
      <c r="D71" s="51" t="s">
        <v>127</v>
      </c>
      <c r="E71" s="46">
        <f>91201.75</f>
        <v>91201.75</v>
      </c>
      <c r="F71" s="47">
        <f>123162.52</f>
        <v>123162.52</v>
      </c>
      <c r="G71" s="47">
        <f>200057.61</f>
        <v>200057.61</v>
      </c>
      <c r="H71" s="48">
        <f>156869.11</f>
        <v>156869.10999999999</v>
      </c>
      <c r="I71" s="49">
        <f>68127</f>
        <v>68127</v>
      </c>
      <c r="J71" s="50">
        <f>0</f>
        <v>0</v>
      </c>
      <c r="K71" s="49">
        <f>0</f>
        <v>0</v>
      </c>
      <c r="L71" s="49">
        <f>0</f>
        <v>0</v>
      </c>
    </row>
    <row r="72" spans="1:12" s="33" customFormat="1" ht="30" customHeight="1" outlineLevel="3">
      <c r="A72" s="34"/>
      <c r="B72" s="43" t="s">
        <v>128</v>
      </c>
      <c r="C72" s="44"/>
      <c r="D72" s="51" t="s">
        <v>129</v>
      </c>
      <c r="E72" s="46">
        <f>1879241.98</f>
        <v>1879241.98</v>
      </c>
      <c r="F72" s="47">
        <f>1357691.17</f>
        <v>1357691.17</v>
      </c>
      <c r="G72" s="47">
        <f>2358801</f>
        <v>2358801</v>
      </c>
      <c r="H72" s="48">
        <f>562105.4</f>
        <v>562105.4</v>
      </c>
      <c r="I72" s="49">
        <f>3401517</f>
        <v>3401517</v>
      </c>
      <c r="J72" s="50">
        <f>0</f>
        <v>0</v>
      </c>
      <c r="K72" s="49">
        <f>0</f>
        <v>0</v>
      </c>
      <c r="L72" s="49">
        <f>0</f>
        <v>0</v>
      </c>
    </row>
    <row r="73" spans="1:12" s="33" customFormat="1" ht="30" customHeight="1" outlineLevel="2">
      <c r="A73" s="34"/>
      <c r="B73" s="43" t="s">
        <v>130</v>
      </c>
      <c r="C73" s="44"/>
      <c r="D73" s="45" t="s">
        <v>131</v>
      </c>
      <c r="E73" s="46">
        <f>4795.66</f>
        <v>4795.66</v>
      </c>
      <c r="F73" s="47">
        <f>1173514.32</f>
        <v>1173514.32</v>
      </c>
      <c r="G73" s="47">
        <f>976317</f>
        <v>976317</v>
      </c>
      <c r="H73" s="48">
        <f>835040.96</f>
        <v>835040.96</v>
      </c>
      <c r="I73" s="49">
        <f>3401517</f>
        <v>3401517</v>
      </c>
      <c r="J73" s="50">
        <f>0</f>
        <v>0</v>
      </c>
      <c r="K73" s="49">
        <f>0</f>
        <v>0</v>
      </c>
      <c r="L73" s="49">
        <f>0</f>
        <v>0</v>
      </c>
    </row>
    <row r="74" spans="1:12" s="33" customFormat="1" ht="30" customHeight="1" outlineLevel="2">
      <c r="A74" s="34"/>
      <c r="B74" s="43" t="s">
        <v>132</v>
      </c>
      <c r="C74" s="44"/>
      <c r="D74" s="45" t="s">
        <v>133</v>
      </c>
      <c r="E74" s="46">
        <f>3489374.05</f>
        <v>3489374.05</v>
      </c>
      <c r="F74" s="47">
        <f>2450536</f>
        <v>2450536</v>
      </c>
      <c r="G74" s="47">
        <f>4025900</f>
        <v>4025900</v>
      </c>
      <c r="H74" s="48">
        <f>1590835.04</f>
        <v>1590835.04</v>
      </c>
      <c r="I74" s="49">
        <f>1684060</f>
        <v>1684060</v>
      </c>
      <c r="J74" s="50">
        <f>3957838.19</f>
        <v>3957838.19</v>
      </c>
      <c r="K74" s="49">
        <f>3223800</f>
        <v>3223800</v>
      </c>
      <c r="L74" s="49">
        <f>3105777.65</f>
        <v>3105777.65</v>
      </c>
    </row>
    <row r="75" spans="1:12" s="33" customFormat="1" ht="30" customHeight="1" outlineLevel="2">
      <c r="A75" s="34"/>
      <c r="B75" s="43" t="s">
        <v>134</v>
      </c>
      <c r="C75" s="44"/>
      <c r="D75" s="45" t="s">
        <v>135</v>
      </c>
      <c r="E75" s="46">
        <f>0</f>
        <v>0</v>
      </c>
      <c r="F75" s="47">
        <f>0</f>
        <v>0</v>
      </c>
      <c r="G75" s="47">
        <f>0</f>
        <v>0</v>
      </c>
      <c r="H75" s="48">
        <f>0</f>
        <v>0</v>
      </c>
      <c r="I75" s="49">
        <f>0</f>
        <v>0</v>
      </c>
      <c r="J75" s="50">
        <f>0</f>
        <v>0</v>
      </c>
      <c r="K75" s="49">
        <f>0</f>
        <v>0</v>
      </c>
      <c r="L75" s="49">
        <f>0</f>
        <v>0</v>
      </c>
    </row>
    <row r="76" spans="1:12" s="33" customFormat="1" ht="38.25" customHeight="1" outlineLevel="1">
      <c r="A76" s="34"/>
      <c r="B76" s="53">
        <v>12</v>
      </c>
      <c r="C76" s="54"/>
      <c r="D76" s="55" t="s">
        <v>136</v>
      </c>
      <c r="E76" s="69" t="s">
        <v>18</v>
      </c>
      <c r="F76" s="70" t="s">
        <v>18</v>
      </c>
      <c r="G76" s="70" t="s">
        <v>18</v>
      </c>
      <c r="H76" s="71" t="s">
        <v>18</v>
      </c>
      <c r="I76" s="72" t="s">
        <v>18</v>
      </c>
      <c r="J76" s="73" t="s">
        <v>18</v>
      </c>
      <c r="K76" s="72" t="s">
        <v>18</v>
      </c>
      <c r="L76" s="72" t="s">
        <v>18</v>
      </c>
    </row>
    <row r="77" spans="1:12" s="33" customFormat="1" ht="38.25" customHeight="1" outlineLevel="2">
      <c r="A77" s="34"/>
      <c r="B77" s="43" t="s">
        <v>137</v>
      </c>
      <c r="C77" s="44"/>
      <c r="D77" s="45" t="s">
        <v>138</v>
      </c>
      <c r="E77" s="46">
        <f>76145.52</f>
        <v>76145.52</v>
      </c>
      <c r="F77" s="47">
        <f>104205.75</f>
        <v>104205.75</v>
      </c>
      <c r="G77" s="47">
        <f>170048.97</f>
        <v>170048.97</v>
      </c>
      <c r="H77" s="48">
        <f>179911.06</f>
        <v>179911.06</v>
      </c>
      <c r="I77" s="49">
        <f>40980.55</f>
        <v>40980.550000000003</v>
      </c>
      <c r="J77" s="50">
        <f>0</f>
        <v>0</v>
      </c>
      <c r="K77" s="49">
        <f>0</f>
        <v>0</v>
      </c>
      <c r="L77" s="49">
        <f>0</f>
        <v>0</v>
      </c>
    </row>
    <row r="78" spans="1:12" s="33" customFormat="1" ht="29.25" customHeight="1" outlineLevel="3">
      <c r="A78" s="34"/>
      <c r="B78" s="43" t="s">
        <v>139</v>
      </c>
      <c r="C78" s="44"/>
      <c r="D78" s="51" t="s">
        <v>140</v>
      </c>
      <c r="E78" s="46">
        <f>76145.52</f>
        <v>76145.52</v>
      </c>
      <c r="F78" s="47">
        <f>104205.75</f>
        <v>104205.75</v>
      </c>
      <c r="G78" s="47">
        <f>170048.97</f>
        <v>170048.97</v>
      </c>
      <c r="H78" s="48">
        <f>160689</f>
        <v>160689</v>
      </c>
      <c r="I78" s="49">
        <f>30761.5</f>
        <v>30761.5</v>
      </c>
      <c r="J78" s="50">
        <f>0</f>
        <v>0</v>
      </c>
      <c r="K78" s="49">
        <f>0</f>
        <v>0</v>
      </c>
      <c r="L78" s="49">
        <f>0</f>
        <v>0</v>
      </c>
    </row>
    <row r="79" spans="1:12" s="33" customFormat="1" ht="35.25" customHeight="1" outlineLevel="3">
      <c r="A79" s="34"/>
      <c r="B79" s="43" t="s">
        <v>141</v>
      </c>
      <c r="C79" s="44"/>
      <c r="D79" s="52" t="s">
        <v>142</v>
      </c>
      <c r="E79" s="46">
        <f>0</f>
        <v>0</v>
      </c>
      <c r="F79" s="47">
        <f>0</f>
        <v>0</v>
      </c>
      <c r="G79" s="47">
        <f>0</f>
        <v>0</v>
      </c>
      <c r="H79" s="48">
        <f>0</f>
        <v>0</v>
      </c>
      <c r="I79" s="49">
        <f>0</f>
        <v>0</v>
      </c>
      <c r="J79" s="50">
        <f>0</f>
        <v>0</v>
      </c>
      <c r="K79" s="49">
        <f>0</f>
        <v>0</v>
      </c>
      <c r="L79" s="49">
        <f>0</f>
        <v>0</v>
      </c>
    </row>
    <row r="80" spans="1:12" s="33" customFormat="1" ht="35.25" customHeight="1" outlineLevel="2">
      <c r="A80" s="34"/>
      <c r="B80" s="43" t="s">
        <v>143</v>
      </c>
      <c r="C80" s="44"/>
      <c r="D80" s="45" t="s">
        <v>144</v>
      </c>
      <c r="E80" s="46">
        <f>0</f>
        <v>0</v>
      </c>
      <c r="F80" s="47">
        <f>1041937.3</f>
        <v>1041937.3</v>
      </c>
      <c r="G80" s="47">
        <f>1008862</f>
        <v>1008862</v>
      </c>
      <c r="H80" s="48">
        <f>1013324.7</f>
        <v>1013324.7</v>
      </c>
      <c r="I80" s="49">
        <f>405420</f>
        <v>405420</v>
      </c>
      <c r="J80" s="50">
        <f>2114404</f>
        <v>2114404</v>
      </c>
      <c r="K80" s="49">
        <f>0</f>
        <v>0</v>
      </c>
      <c r="L80" s="49">
        <f>0</f>
        <v>0</v>
      </c>
    </row>
    <row r="81" spans="1:12" s="33" customFormat="1" ht="30" customHeight="1" outlineLevel="3">
      <c r="A81" s="34"/>
      <c r="B81" s="43" t="s">
        <v>145</v>
      </c>
      <c r="C81" s="44"/>
      <c r="D81" s="51" t="s">
        <v>140</v>
      </c>
      <c r="E81" s="46">
        <f>0</f>
        <v>0</v>
      </c>
      <c r="F81" s="47">
        <f>1041937.3</f>
        <v>1041937.3</v>
      </c>
      <c r="G81" s="47">
        <f>826032</f>
        <v>826032</v>
      </c>
      <c r="H81" s="48">
        <f>826032</f>
        <v>826032</v>
      </c>
      <c r="I81" s="49">
        <f>216868</f>
        <v>216868</v>
      </c>
      <c r="J81" s="50">
        <f>2114404</f>
        <v>2114404</v>
      </c>
      <c r="K81" s="49">
        <f>0</f>
        <v>0</v>
      </c>
      <c r="L81" s="49">
        <f>0</f>
        <v>0</v>
      </c>
    </row>
    <row r="82" spans="1:12" s="33" customFormat="1" ht="35.25" customHeight="1" outlineLevel="3">
      <c r="A82" s="34"/>
      <c r="B82" s="43" t="s">
        <v>146</v>
      </c>
      <c r="C82" s="44"/>
      <c r="D82" s="52" t="s">
        <v>142</v>
      </c>
      <c r="E82" s="46">
        <f>0</f>
        <v>0</v>
      </c>
      <c r="F82" s="47">
        <f>0</f>
        <v>0</v>
      </c>
      <c r="G82" s="47">
        <f>0</f>
        <v>0</v>
      </c>
      <c r="H82" s="48">
        <f>0</f>
        <v>0</v>
      </c>
      <c r="I82" s="49">
        <f>0</f>
        <v>0</v>
      </c>
      <c r="J82" s="50">
        <f>0</f>
        <v>0</v>
      </c>
      <c r="K82" s="49">
        <f>0</f>
        <v>0</v>
      </c>
      <c r="L82" s="49">
        <f>0</f>
        <v>0</v>
      </c>
    </row>
    <row r="83" spans="1:12" s="33" customFormat="1" ht="33" customHeight="1" outlineLevel="2">
      <c r="A83" s="34"/>
      <c r="B83" s="43" t="s">
        <v>147</v>
      </c>
      <c r="C83" s="44"/>
      <c r="D83" s="45" t="s">
        <v>148</v>
      </c>
      <c r="E83" s="46">
        <f>91201.75</f>
        <v>91201.75</v>
      </c>
      <c r="F83" s="47">
        <f>123162.52</f>
        <v>123162.52</v>
      </c>
      <c r="G83" s="47">
        <f>200057.61</f>
        <v>200057.61</v>
      </c>
      <c r="H83" s="48">
        <f>156869.11</f>
        <v>156869.10999999999</v>
      </c>
      <c r="I83" s="49">
        <f>68127</f>
        <v>68127</v>
      </c>
      <c r="J83" s="50">
        <f>0</f>
        <v>0</v>
      </c>
      <c r="K83" s="49">
        <f>0</f>
        <v>0</v>
      </c>
      <c r="L83" s="49">
        <f>0</f>
        <v>0</v>
      </c>
    </row>
    <row r="84" spans="1:12" s="33" customFormat="1" ht="30" customHeight="1" outlineLevel="3">
      <c r="A84" s="34"/>
      <c r="B84" s="43" t="s">
        <v>149</v>
      </c>
      <c r="C84" s="44"/>
      <c r="D84" s="51" t="s">
        <v>150</v>
      </c>
      <c r="E84" s="46">
        <f>76145.79</f>
        <v>76145.789999999994</v>
      </c>
      <c r="F84" s="47">
        <f>104205.63</f>
        <v>104205.63</v>
      </c>
      <c r="G84" s="47">
        <f>170048.97</f>
        <v>170048.97</v>
      </c>
      <c r="H84" s="48">
        <f>133542.58</f>
        <v>133542.57999999999</v>
      </c>
      <c r="I84" s="49">
        <f>57907.95</f>
        <v>57907.95</v>
      </c>
      <c r="J84" s="50">
        <f>0</f>
        <v>0</v>
      </c>
      <c r="K84" s="49">
        <f>0</f>
        <v>0</v>
      </c>
      <c r="L84" s="49">
        <f>0</f>
        <v>0</v>
      </c>
    </row>
    <row r="85" spans="1:12" s="33" customFormat="1" ht="45.75" customHeight="1" outlineLevel="3">
      <c r="A85" s="34"/>
      <c r="B85" s="43" t="s">
        <v>151</v>
      </c>
      <c r="C85" s="44"/>
      <c r="D85" s="51" t="s">
        <v>152</v>
      </c>
      <c r="E85" s="46">
        <f>0</f>
        <v>0</v>
      </c>
      <c r="F85" s="47">
        <f>0</f>
        <v>0</v>
      </c>
      <c r="G85" s="47">
        <f>0</f>
        <v>0</v>
      </c>
      <c r="H85" s="48">
        <f>0</f>
        <v>0</v>
      </c>
      <c r="I85" s="49">
        <f>0</f>
        <v>0</v>
      </c>
      <c r="J85" s="50">
        <f>0</f>
        <v>0</v>
      </c>
      <c r="K85" s="49">
        <f>0</f>
        <v>0</v>
      </c>
      <c r="L85" s="49">
        <f>0</f>
        <v>0</v>
      </c>
    </row>
    <row r="86" spans="1:12" s="33" customFormat="1" ht="36" customHeight="1" outlineLevel="2">
      <c r="A86" s="34"/>
      <c r="B86" s="43" t="s">
        <v>153</v>
      </c>
      <c r="C86" s="44"/>
      <c r="D86" s="45" t="s">
        <v>154</v>
      </c>
      <c r="E86" s="46">
        <f>775356.2</f>
        <v>775356.2</v>
      </c>
      <c r="F86" s="47">
        <f>650923.96</f>
        <v>650923.96</v>
      </c>
      <c r="G86" s="47">
        <f>1407047</f>
        <v>1407047</v>
      </c>
      <c r="H86" s="48">
        <f>562105.4</f>
        <v>562105.4</v>
      </c>
      <c r="I86" s="49">
        <f>3401517</f>
        <v>3401517</v>
      </c>
      <c r="J86" s="50">
        <f>0</f>
        <v>0</v>
      </c>
      <c r="K86" s="49">
        <f>0</f>
        <v>0</v>
      </c>
      <c r="L86" s="49">
        <f>0</f>
        <v>0</v>
      </c>
    </row>
    <row r="87" spans="1:12" s="33" customFormat="1" ht="27" customHeight="1" outlineLevel="3">
      <c r="A87" s="34"/>
      <c r="B87" s="43" t="s">
        <v>155</v>
      </c>
      <c r="C87" s="44"/>
      <c r="D87" s="51" t="s">
        <v>156</v>
      </c>
      <c r="E87" s="46">
        <f>775356.2</f>
        <v>775356.2</v>
      </c>
      <c r="F87" s="47">
        <f>650923.96</f>
        <v>650923.96</v>
      </c>
      <c r="G87" s="47">
        <f>1407047</f>
        <v>1407047</v>
      </c>
      <c r="H87" s="48">
        <f>220814.52</f>
        <v>220814.52</v>
      </c>
      <c r="I87" s="49">
        <f>2074096</f>
        <v>2074096</v>
      </c>
      <c r="J87" s="50">
        <f>0</f>
        <v>0</v>
      </c>
      <c r="K87" s="49">
        <f>0</f>
        <v>0</v>
      </c>
      <c r="L87" s="49">
        <f>0</f>
        <v>0</v>
      </c>
    </row>
    <row r="88" spans="1:12" s="33" customFormat="1" ht="46.5" customHeight="1" outlineLevel="3">
      <c r="A88" s="34"/>
      <c r="B88" s="43" t="s">
        <v>157</v>
      </c>
      <c r="C88" s="44"/>
      <c r="D88" s="51" t="s">
        <v>158</v>
      </c>
      <c r="E88" s="46">
        <f>0</f>
        <v>0</v>
      </c>
      <c r="F88" s="47">
        <f>0</f>
        <v>0</v>
      </c>
      <c r="G88" s="47">
        <f>0</f>
        <v>0</v>
      </c>
      <c r="H88" s="48">
        <f>0</f>
        <v>0</v>
      </c>
      <c r="I88" s="49">
        <f>0</f>
        <v>0</v>
      </c>
      <c r="J88" s="50">
        <f>0</f>
        <v>0</v>
      </c>
      <c r="K88" s="49">
        <f>0</f>
        <v>0</v>
      </c>
      <c r="L88" s="49">
        <f>0</f>
        <v>0</v>
      </c>
    </row>
    <row r="89" spans="1:12" s="33" customFormat="1" ht="33" customHeight="1" outlineLevel="1">
      <c r="A89" s="34"/>
      <c r="B89" s="53">
        <v>13</v>
      </c>
      <c r="C89" s="54"/>
      <c r="D89" s="79" t="s">
        <v>159</v>
      </c>
      <c r="E89" s="69" t="s">
        <v>18</v>
      </c>
      <c r="F89" s="70" t="s">
        <v>18</v>
      </c>
      <c r="G89" s="70" t="s">
        <v>18</v>
      </c>
      <c r="H89" s="71" t="s">
        <v>18</v>
      </c>
      <c r="I89" s="72" t="s">
        <v>18</v>
      </c>
      <c r="J89" s="73" t="s">
        <v>18</v>
      </c>
      <c r="K89" s="72" t="s">
        <v>18</v>
      </c>
      <c r="L89" s="72" t="s">
        <v>18</v>
      </c>
    </row>
    <row r="90" spans="1:12" s="33" customFormat="1" ht="48" customHeight="1" outlineLevel="2">
      <c r="A90" s="34"/>
      <c r="B90" s="43" t="s">
        <v>160</v>
      </c>
      <c r="C90" s="44"/>
      <c r="D90" s="45" t="s">
        <v>161</v>
      </c>
      <c r="E90" s="46">
        <f>0</f>
        <v>0</v>
      </c>
      <c r="F90" s="47">
        <f>0</f>
        <v>0</v>
      </c>
      <c r="G90" s="47">
        <f>0</f>
        <v>0</v>
      </c>
      <c r="H90" s="48">
        <f>0</f>
        <v>0</v>
      </c>
      <c r="I90" s="49">
        <f>0</f>
        <v>0</v>
      </c>
      <c r="J90" s="50">
        <f>0</f>
        <v>0</v>
      </c>
      <c r="K90" s="49">
        <f>0</f>
        <v>0</v>
      </c>
      <c r="L90" s="49">
        <f>0</f>
        <v>0</v>
      </c>
    </row>
    <row r="91" spans="1:12" s="33" customFormat="1" ht="39.75" customHeight="1" outlineLevel="2">
      <c r="A91" s="34"/>
      <c r="B91" s="43" t="s">
        <v>162</v>
      </c>
      <c r="C91" s="44"/>
      <c r="D91" s="45" t="s">
        <v>163</v>
      </c>
      <c r="E91" s="46">
        <f>0</f>
        <v>0</v>
      </c>
      <c r="F91" s="47">
        <f>0</f>
        <v>0</v>
      </c>
      <c r="G91" s="47">
        <f>0</f>
        <v>0</v>
      </c>
      <c r="H91" s="48">
        <f>0</f>
        <v>0</v>
      </c>
      <c r="I91" s="49">
        <f>0</f>
        <v>0</v>
      </c>
      <c r="J91" s="50">
        <f>0</f>
        <v>0</v>
      </c>
      <c r="K91" s="49">
        <f>0</f>
        <v>0</v>
      </c>
      <c r="L91" s="49">
        <f>0</f>
        <v>0</v>
      </c>
    </row>
    <row r="92" spans="1:12" s="33" customFormat="1" ht="37.5" customHeight="1" outlineLevel="2">
      <c r="A92" s="34"/>
      <c r="B92" s="43" t="s">
        <v>164</v>
      </c>
      <c r="C92" s="44"/>
      <c r="D92" s="45" t="s">
        <v>165</v>
      </c>
      <c r="E92" s="46">
        <f>0</f>
        <v>0</v>
      </c>
      <c r="F92" s="47">
        <f>0</f>
        <v>0</v>
      </c>
      <c r="G92" s="47">
        <f>0</f>
        <v>0</v>
      </c>
      <c r="H92" s="48">
        <f>0</f>
        <v>0</v>
      </c>
      <c r="I92" s="49">
        <f>0</f>
        <v>0</v>
      </c>
      <c r="J92" s="50">
        <f>0</f>
        <v>0</v>
      </c>
      <c r="K92" s="49">
        <f>0</f>
        <v>0</v>
      </c>
      <c r="L92" s="49">
        <f>0</f>
        <v>0</v>
      </c>
    </row>
    <row r="93" spans="1:12" s="33" customFormat="1" ht="36" customHeight="1" outlineLevel="2">
      <c r="A93" s="34"/>
      <c r="B93" s="43" t="s">
        <v>166</v>
      </c>
      <c r="C93" s="44"/>
      <c r="D93" s="45" t="s">
        <v>167</v>
      </c>
      <c r="E93" s="46">
        <f>0</f>
        <v>0</v>
      </c>
      <c r="F93" s="47">
        <f>0</f>
        <v>0</v>
      </c>
      <c r="G93" s="47">
        <f>0</f>
        <v>0</v>
      </c>
      <c r="H93" s="48">
        <f>0</f>
        <v>0</v>
      </c>
      <c r="I93" s="49">
        <f>0</f>
        <v>0</v>
      </c>
      <c r="J93" s="50">
        <f>0</f>
        <v>0</v>
      </c>
      <c r="K93" s="49">
        <f>0</f>
        <v>0</v>
      </c>
      <c r="L93" s="49">
        <f>0</f>
        <v>0</v>
      </c>
    </row>
    <row r="94" spans="1:12" s="33" customFormat="1" ht="41.25" customHeight="1" outlineLevel="2">
      <c r="A94" s="34"/>
      <c r="B94" s="43" t="s">
        <v>168</v>
      </c>
      <c r="C94" s="44"/>
      <c r="D94" s="45" t="s">
        <v>169</v>
      </c>
      <c r="E94" s="46">
        <f>0</f>
        <v>0</v>
      </c>
      <c r="F94" s="47">
        <f>0</f>
        <v>0</v>
      </c>
      <c r="G94" s="47">
        <f>0</f>
        <v>0</v>
      </c>
      <c r="H94" s="48">
        <f>0</f>
        <v>0</v>
      </c>
      <c r="I94" s="49">
        <f>0</f>
        <v>0</v>
      </c>
      <c r="J94" s="50">
        <f>0</f>
        <v>0</v>
      </c>
      <c r="K94" s="49">
        <f>0</f>
        <v>0</v>
      </c>
      <c r="L94" s="49">
        <f>0</f>
        <v>0</v>
      </c>
    </row>
    <row r="95" spans="1:12" s="33" customFormat="1" ht="39" customHeight="1" outlineLevel="2">
      <c r="A95" s="34"/>
      <c r="B95" s="43" t="s">
        <v>170</v>
      </c>
      <c r="C95" s="44"/>
      <c r="D95" s="45" t="s">
        <v>171</v>
      </c>
      <c r="E95" s="46">
        <f>0</f>
        <v>0</v>
      </c>
      <c r="F95" s="47">
        <f>0</f>
        <v>0</v>
      </c>
      <c r="G95" s="47">
        <f>0</f>
        <v>0</v>
      </c>
      <c r="H95" s="48">
        <f>0</f>
        <v>0</v>
      </c>
      <c r="I95" s="49">
        <f>0</f>
        <v>0</v>
      </c>
      <c r="J95" s="50">
        <f>0</f>
        <v>0</v>
      </c>
      <c r="K95" s="49">
        <f>0</f>
        <v>0</v>
      </c>
      <c r="L95" s="49">
        <f>0</f>
        <v>0</v>
      </c>
    </row>
    <row r="96" spans="1:12" s="33" customFormat="1" ht="39.75" customHeight="1" outlineLevel="2">
      <c r="A96" s="34"/>
      <c r="B96" s="43" t="s">
        <v>172</v>
      </c>
      <c r="C96" s="44"/>
      <c r="D96" s="45" t="s">
        <v>173</v>
      </c>
      <c r="E96" s="46">
        <f>0</f>
        <v>0</v>
      </c>
      <c r="F96" s="47">
        <f>0</f>
        <v>0</v>
      </c>
      <c r="G96" s="47">
        <f>0</f>
        <v>0</v>
      </c>
      <c r="H96" s="48">
        <f>0</f>
        <v>0</v>
      </c>
      <c r="I96" s="49">
        <f>0</f>
        <v>0</v>
      </c>
      <c r="J96" s="50">
        <f>0</f>
        <v>0</v>
      </c>
      <c r="K96" s="49">
        <f>0</f>
        <v>0</v>
      </c>
      <c r="L96" s="49">
        <f>0</f>
        <v>0</v>
      </c>
    </row>
    <row r="97" spans="1:12" s="33" customFormat="1" ht="27.75" customHeight="1" outlineLevel="1">
      <c r="A97" s="34" t="s">
        <v>18</v>
      </c>
      <c r="B97" s="53">
        <v>14</v>
      </c>
      <c r="C97" s="54"/>
      <c r="D97" s="55" t="s">
        <v>174</v>
      </c>
      <c r="E97" s="69" t="s">
        <v>18</v>
      </c>
      <c r="F97" s="70" t="s">
        <v>18</v>
      </c>
      <c r="G97" s="70" t="s">
        <v>18</v>
      </c>
      <c r="H97" s="71" t="s">
        <v>18</v>
      </c>
      <c r="I97" s="72" t="s">
        <v>18</v>
      </c>
      <c r="J97" s="73" t="s">
        <v>18</v>
      </c>
      <c r="K97" s="72" t="s">
        <v>18</v>
      </c>
      <c r="L97" s="72" t="s">
        <v>18</v>
      </c>
    </row>
    <row r="98" spans="1:12" s="33" customFormat="1" ht="33" customHeight="1" outlineLevel="2">
      <c r="A98" s="34" t="s">
        <v>18</v>
      </c>
      <c r="B98" s="43" t="s">
        <v>175</v>
      </c>
      <c r="C98" s="44"/>
      <c r="D98" s="45" t="s">
        <v>176</v>
      </c>
      <c r="E98" s="46">
        <f>258997.72</f>
        <v>258997.72</v>
      </c>
      <c r="F98" s="47">
        <f>601088.34</f>
        <v>601088.34</v>
      </c>
      <c r="G98" s="47">
        <f>1317095.75</f>
        <v>1317095.75</v>
      </c>
      <c r="H98" s="48">
        <f>1278520.75</f>
        <v>1278520.75</v>
      </c>
      <c r="I98" s="49">
        <f>737521.46</f>
        <v>737521.46</v>
      </c>
      <c r="J98" s="50">
        <f>773956.19</f>
        <v>773956.19</v>
      </c>
      <c r="K98" s="49">
        <f>0</f>
        <v>0</v>
      </c>
      <c r="L98" s="49">
        <f>0</f>
        <v>0</v>
      </c>
    </row>
    <row r="99" spans="1:12" s="33" customFormat="1" ht="30" customHeight="1" outlineLevel="2">
      <c r="A99" s="34" t="s">
        <v>18</v>
      </c>
      <c r="B99" s="43" t="s">
        <v>177</v>
      </c>
      <c r="C99" s="44"/>
      <c r="D99" s="45" t="s">
        <v>178</v>
      </c>
      <c r="E99" s="46">
        <f>0</f>
        <v>0</v>
      </c>
      <c r="F99" s="47">
        <f>0</f>
        <v>0</v>
      </c>
      <c r="G99" s="47">
        <f>0</f>
        <v>0</v>
      </c>
      <c r="H99" s="48">
        <f>0</f>
        <v>0</v>
      </c>
      <c r="I99" s="49">
        <f>0</f>
        <v>0</v>
      </c>
      <c r="J99" s="50">
        <f>0</f>
        <v>0</v>
      </c>
      <c r="K99" s="49">
        <f>0</f>
        <v>0</v>
      </c>
      <c r="L99" s="49">
        <f>0</f>
        <v>0</v>
      </c>
    </row>
    <row r="100" spans="1:12" s="33" customFormat="1" ht="30" customHeight="1" outlineLevel="2">
      <c r="A100" s="34" t="s">
        <v>18</v>
      </c>
      <c r="B100" s="43" t="s">
        <v>179</v>
      </c>
      <c r="C100" s="44"/>
      <c r="D100" s="45" t="s">
        <v>180</v>
      </c>
      <c r="E100" s="46">
        <f>0</f>
        <v>0</v>
      </c>
      <c r="F100" s="47">
        <f>0</f>
        <v>0</v>
      </c>
      <c r="G100" s="47">
        <f>0</f>
        <v>0</v>
      </c>
      <c r="H100" s="48">
        <f>0</f>
        <v>0</v>
      </c>
      <c r="I100" s="49">
        <f>0</f>
        <v>0</v>
      </c>
      <c r="J100" s="50">
        <f>0</f>
        <v>0</v>
      </c>
      <c r="K100" s="49">
        <f>0</f>
        <v>0</v>
      </c>
      <c r="L100" s="49">
        <f>0</f>
        <v>0</v>
      </c>
    </row>
    <row r="101" spans="1:12" s="33" customFormat="1" ht="30" customHeight="1" outlineLevel="3">
      <c r="A101" s="34" t="s">
        <v>18</v>
      </c>
      <c r="B101" s="43" t="s">
        <v>181</v>
      </c>
      <c r="C101" s="44"/>
      <c r="D101" s="51" t="s">
        <v>182</v>
      </c>
      <c r="E101" s="46">
        <f>0</f>
        <v>0</v>
      </c>
      <c r="F101" s="47">
        <f>0</f>
        <v>0</v>
      </c>
      <c r="G101" s="47">
        <f>0</f>
        <v>0</v>
      </c>
      <c r="H101" s="48">
        <f>0</f>
        <v>0</v>
      </c>
      <c r="I101" s="49">
        <f>0</f>
        <v>0</v>
      </c>
      <c r="J101" s="50">
        <f>0</f>
        <v>0</v>
      </c>
      <c r="K101" s="49">
        <f>0</f>
        <v>0</v>
      </c>
      <c r="L101" s="49">
        <f>0</f>
        <v>0</v>
      </c>
    </row>
    <row r="102" spans="1:12" s="33" customFormat="1" ht="30" customHeight="1" outlineLevel="3">
      <c r="A102" s="34" t="s">
        <v>18</v>
      </c>
      <c r="B102" s="43" t="s">
        <v>183</v>
      </c>
      <c r="C102" s="44"/>
      <c r="D102" s="51" t="s">
        <v>184</v>
      </c>
      <c r="E102" s="46">
        <f>0</f>
        <v>0</v>
      </c>
      <c r="F102" s="47">
        <f>0</f>
        <v>0</v>
      </c>
      <c r="G102" s="47">
        <f>0</f>
        <v>0</v>
      </c>
      <c r="H102" s="48">
        <f>0</f>
        <v>0</v>
      </c>
      <c r="I102" s="49">
        <f>0</f>
        <v>0</v>
      </c>
      <c r="J102" s="50">
        <f>0</f>
        <v>0</v>
      </c>
      <c r="K102" s="49">
        <f>0</f>
        <v>0</v>
      </c>
      <c r="L102" s="49">
        <f>0</f>
        <v>0</v>
      </c>
    </row>
    <row r="103" spans="1:12" s="33" customFormat="1" ht="29.25" customHeight="1" outlineLevel="3">
      <c r="A103" s="34" t="s">
        <v>18</v>
      </c>
      <c r="B103" s="43" t="s">
        <v>185</v>
      </c>
      <c r="C103" s="44"/>
      <c r="D103" s="51" t="s">
        <v>186</v>
      </c>
      <c r="E103" s="46">
        <f>0</f>
        <v>0</v>
      </c>
      <c r="F103" s="47">
        <f>0</f>
        <v>0</v>
      </c>
      <c r="G103" s="47">
        <f>0</f>
        <v>0</v>
      </c>
      <c r="H103" s="48">
        <f>0</f>
        <v>0</v>
      </c>
      <c r="I103" s="49">
        <f>0</f>
        <v>0</v>
      </c>
      <c r="J103" s="50">
        <f>0</f>
        <v>0</v>
      </c>
      <c r="K103" s="49">
        <f>0</f>
        <v>0</v>
      </c>
      <c r="L103" s="49">
        <f>0</f>
        <v>0</v>
      </c>
    </row>
    <row r="104" spans="1:12" s="33" customFormat="1" ht="32.25" customHeight="1" outlineLevel="2">
      <c r="A104" s="34" t="s">
        <v>18</v>
      </c>
      <c r="B104" s="80" t="s">
        <v>187</v>
      </c>
      <c r="C104" s="81"/>
      <c r="D104" s="82" t="s">
        <v>188</v>
      </c>
      <c r="E104" s="83">
        <f>0</f>
        <v>0</v>
      </c>
      <c r="F104" s="84">
        <f>0</f>
        <v>0</v>
      </c>
      <c r="G104" s="84">
        <f>0</f>
        <v>0</v>
      </c>
      <c r="H104" s="85">
        <f>0</f>
        <v>0</v>
      </c>
      <c r="I104" s="86">
        <f>0</f>
        <v>0</v>
      </c>
      <c r="J104" s="87">
        <f>0</f>
        <v>0</v>
      </c>
      <c r="K104" s="86">
        <f>0</f>
        <v>0</v>
      </c>
      <c r="L104" s="86">
        <f>0</f>
        <v>0</v>
      </c>
    </row>
  </sheetData>
  <sheetProtection formatCells="0" formatColumns="0" formatRows="0" insertColumns="0" deleteColumns="0"/>
  <autoFilter ref="A9:A104"/>
  <mergeCells count="1">
    <mergeCell ref="E8:F8"/>
  </mergeCells>
  <phoneticPr fontId="0" type="noConversion"/>
  <conditionalFormatting sqref="I63:L64">
    <cfRule type="expression" dxfId="0" priority="1" stopIfTrue="1">
      <formula>LEFT(I63,3)="Nie"</formula>
    </cfRule>
  </conditionalFormatting>
  <pageMargins left="0.54" right="0.51181102362204722" top="1.25" bottom="0.47244094488188981" header="0.23" footer="0.31496062992125984"/>
  <pageSetup paperSize="9" scale="65" orientation="landscape" blackAndWhite="1" horizontalDpi="4294967293" verticalDpi="4294967293" r:id="rId1"/>
  <headerFooter alignWithMargins="0">
    <oddHeader xml:space="preserve">&amp;C
&amp;"Times New Roman,Pogrubiona"&amp;16WIELOLETNIA PROGNOZA FINANSOWA GMINY KRZYŻANÓW NA LATA 2013-2016&amp;R&amp;"Times New Roman,Normalny"&amp;10Zał. nr 1
do uchwały Nr XVII/136/2013
RG Krzyżanów
z dn. 27.03.2013r.&amp;"Czcionka tekstu podstawowego,Standardowy"&amp;11
</oddHeader>
    <oddFooter>&amp;C&amp;8Strona &amp;P z &amp;N</oddFooter>
  </headerFooter>
  <rowBreaks count="2" manualBreakCount="2">
    <brk id="48" min="1" max="39" man="1"/>
    <brk id="75" min="1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Zał.1_WPF_bazowy</vt:lpstr>
      <vt:lpstr>Zał.1_WPF_bazowy!Obszar_wydruku</vt:lpstr>
      <vt:lpstr>Zał.1_WPF_bazowy!Tytuły_wydruku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Właściciel</cp:lastModifiedBy>
  <cp:lastPrinted>2013-03-26T12:20:25Z</cp:lastPrinted>
  <dcterms:created xsi:type="dcterms:W3CDTF">2013-03-26T07:12:09Z</dcterms:created>
  <dcterms:modified xsi:type="dcterms:W3CDTF">2013-03-26T12:25:43Z</dcterms:modified>
</cp:coreProperties>
</file>