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8C4F1C90-05EB-6A55-5F09-09C24B55AC0B}"/>
  <workbookPr codeName="ThisWorkbook" defaultThemeVersion="124226"/>
  <bookViews>
    <workbookView xWindow="-15" yWindow="5775" windowWidth="15480" windowHeight="5835" tabRatio="688"/>
  </bookViews>
  <sheets>
    <sheet name="Zał.1_WPF_bazowy" sheetId="12" r:id="rId1"/>
    <sheet name="WPF_AnalizaWsk_ProjektowanieJST" sheetId="17" r:id="rId2"/>
    <sheet name="definicja" sheetId="8" state="hidden" r:id="rId3"/>
    <sheet name="rysunki" sheetId="14" r:id="rId4"/>
    <sheet name="DaneZrodlowe" sheetId="9" state="hidden" r:id="rId5"/>
    <sheet name="DaneZrodloweDoWsk" sheetId="15" state="hidden" r:id="rId6"/>
  </sheets>
  <definedNames>
    <definedName name="_xlnm._FilterDatabase" localSheetId="1" hidden="1">WPF_AnalizaWsk_ProjektowanieJST!$A$9:$A$110</definedName>
    <definedName name="_xlnm._FilterDatabase" localSheetId="0" hidden="1">Zał.1_WPF_bazowy!$A$9:$A$110</definedName>
    <definedName name="_xlnm.Print_Area" localSheetId="1">WPF_AnalizaWsk_ProjektowanieJST!$B$8:$AL$114</definedName>
    <definedName name="_xlnm.Print_Area" localSheetId="0">Zał.1_WPF_bazowy!$B$8:$L$114</definedName>
    <definedName name="_xlnm.Print_Titles" localSheetId="1">WPF_AnalizaWsk_ProjektowanieJST!$B:$D,WPF_AnalizaWsk_ProjektowanieJST!$8:$9</definedName>
    <definedName name="_xlnm.Print_Titles" localSheetId="0">Zał.1_WPF_bazowy!$B:$D,Zał.1_WPF_bazowy!$8:$9</definedName>
    <definedName name="Z_9360F695_77C0_4418_82C5_829A762C44E9_.wvu.Cols" localSheetId="1" hidden="1">WPF_AnalizaWsk_ProjektowanieJST!$A:$A,WPF_AnalizaWsk_ProjektowanieJST!$C:$C</definedName>
    <definedName name="Z_9360F695_77C0_4418_82C5_829A762C44E9_.wvu.Cols" localSheetId="0" hidden="1">Zał.1_WPF_bazowy!$A:$A,Zał.1_WPF_bazowy!$C:$C</definedName>
    <definedName name="Z_9360F695_77C0_4418_82C5_829A762C44E9_.wvu.FilterData" localSheetId="1" hidden="1">WPF_AnalizaWsk_ProjektowanieJST!$A$9:$A$110</definedName>
    <definedName name="Z_9360F695_77C0_4418_82C5_829A762C44E9_.wvu.FilterData" localSheetId="0" hidden="1">Zał.1_WPF_bazowy!$A$9:$A$110</definedName>
    <definedName name="Z_9360F695_77C0_4418_82C5_829A762C44E9_.wvu.PrintArea" localSheetId="1" hidden="1">WPF_AnalizaWsk_ProjektowanieJST!$B$8:$AL$110</definedName>
    <definedName name="Z_9360F695_77C0_4418_82C5_829A762C44E9_.wvu.PrintArea" localSheetId="0" hidden="1">Zał.1_WPF_bazowy!$B$8:$L$110</definedName>
    <definedName name="Z_9360F695_77C0_4418_82C5_829A762C44E9_.wvu.PrintTitles" localSheetId="1" hidden="1">WPF_AnalizaWsk_ProjektowanieJST!$B:$D,WPF_AnalizaWsk_ProjektowanieJST!$8:$9</definedName>
    <definedName name="Z_9360F695_77C0_4418_82C5_829A762C44E9_.wvu.PrintTitles" localSheetId="0" hidden="1">Zał.1_WPF_bazowy!$B:$D,Zał.1_WPF_bazowy!$8:$9</definedName>
  </definedNames>
  <calcPr calcId="124519" fullCalcOnLoad="1"/>
  <customWorkbookViews>
    <customWorkbookView name="wydruk_symulacji_podstawowe_dane" guid="{9360F695-77C0-4418-82C5-829A762C44E9}" maximized="1" windowWidth="1596" windowHeight="685" tabRatio="688" activeSheetId="19"/>
  </customWorkbookViews>
  <fileRecoveryPr autoRecover="0"/>
</workbook>
</file>

<file path=xl/calcChain.xml><?xml version="1.0" encoding="utf-8"?>
<calcChain xmlns="http://schemas.openxmlformats.org/spreadsheetml/2006/main">
  <c r="I8" i="17"/>
  <c r="L114" i="12"/>
  <c r="L113"/>
  <c r="L112"/>
  <c r="L110"/>
  <c r="L109"/>
  <c r="L108"/>
  <c r="L107"/>
  <c r="L106"/>
  <c r="L105"/>
  <c r="L104"/>
  <c r="L102"/>
  <c r="L101"/>
  <c r="L100"/>
  <c r="L99"/>
  <c r="L98"/>
  <c r="L97"/>
  <c r="L96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3"/>
  <c r="L72"/>
  <c r="L71"/>
  <c r="L70"/>
  <c r="L69"/>
  <c r="L68"/>
  <c r="L67"/>
  <c r="L66"/>
  <c r="L64"/>
  <c r="L63"/>
  <c r="L60"/>
  <c r="L59"/>
  <c r="L57"/>
  <c r="L56"/>
  <c r="L55"/>
  <c r="L54"/>
  <c r="L52"/>
  <c r="L51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K114"/>
  <c r="K113"/>
  <c r="K112"/>
  <c r="K110"/>
  <c r="K109"/>
  <c r="K108"/>
  <c r="K107"/>
  <c r="K106"/>
  <c r="K105"/>
  <c r="K104"/>
  <c r="K102"/>
  <c r="K101"/>
  <c r="K100"/>
  <c r="K99"/>
  <c r="K98"/>
  <c r="K97"/>
  <c r="K96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3"/>
  <c r="K72"/>
  <c r="K71"/>
  <c r="K70"/>
  <c r="K69"/>
  <c r="K68"/>
  <c r="K67"/>
  <c r="K66"/>
  <c r="K64"/>
  <c r="K63"/>
  <c r="K60"/>
  <c r="K59"/>
  <c r="K57"/>
  <c r="K56"/>
  <c r="K55"/>
  <c r="K54"/>
  <c r="K52"/>
  <c r="K51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J114"/>
  <c r="J113"/>
  <c r="J112"/>
  <c r="J110"/>
  <c r="J109"/>
  <c r="J108"/>
  <c r="J107"/>
  <c r="J106"/>
  <c r="J105"/>
  <c r="J104"/>
  <c r="J102"/>
  <c r="J101"/>
  <c r="J100"/>
  <c r="J99"/>
  <c r="J98"/>
  <c r="J97"/>
  <c r="J96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3"/>
  <c r="J72"/>
  <c r="J71"/>
  <c r="J70"/>
  <c r="J69"/>
  <c r="J68"/>
  <c r="J67"/>
  <c r="J66"/>
  <c r="J64"/>
  <c r="J63"/>
  <c r="J60"/>
  <c r="J59"/>
  <c r="J57"/>
  <c r="J56"/>
  <c r="J55"/>
  <c r="J54"/>
  <c r="J52"/>
  <c r="J51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I114"/>
  <c r="I113"/>
  <c r="I112"/>
  <c r="I110"/>
  <c r="I109"/>
  <c r="I108"/>
  <c r="I107"/>
  <c r="I106"/>
  <c r="I105"/>
  <c r="I104"/>
  <c r="I102"/>
  <c r="I101"/>
  <c r="I100"/>
  <c r="I99"/>
  <c r="I98"/>
  <c r="I97"/>
  <c r="I96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2"/>
  <c r="I71"/>
  <c r="I70"/>
  <c r="I69"/>
  <c r="I68"/>
  <c r="I67"/>
  <c r="I66"/>
  <c r="I63"/>
  <c r="I60"/>
  <c r="I59"/>
  <c r="I57"/>
  <c r="I56"/>
  <c r="I55"/>
  <c r="I54"/>
  <c r="I52"/>
  <c r="I5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8"/>
  <c r="H114"/>
  <c r="H113"/>
  <c r="H112"/>
  <c r="H110"/>
  <c r="H109"/>
  <c r="H108"/>
  <c r="H107"/>
  <c r="H106"/>
  <c r="H105"/>
  <c r="H104"/>
  <c r="H102"/>
  <c r="H101"/>
  <c r="H100"/>
  <c r="H99"/>
  <c r="H98"/>
  <c r="H97"/>
  <c r="H96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3"/>
  <c r="H72"/>
  <c r="H71"/>
  <c r="H70"/>
  <c r="H69"/>
  <c r="H68"/>
  <c r="H67"/>
  <c r="H66"/>
  <c r="H64"/>
  <c r="H63"/>
  <c r="H57"/>
  <c r="H56"/>
  <c r="H55"/>
  <c r="H54"/>
  <c r="H52"/>
  <c r="H51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G114"/>
  <c r="G113"/>
  <c r="G112"/>
  <c r="G110"/>
  <c r="G109"/>
  <c r="G108"/>
  <c r="G107"/>
  <c r="G106"/>
  <c r="G105"/>
  <c r="G104"/>
  <c r="G102"/>
  <c r="G101"/>
  <c r="G100"/>
  <c r="G99"/>
  <c r="G98"/>
  <c r="G97"/>
  <c r="G96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3"/>
  <c r="G72"/>
  <c r="G71"/>
  <c r="G70"/>
  <c r="G69"/>
  <c r="G68"/>
  <c r="G67"/>
  <c r="G66"/>
  <c r="G64"/>
  <c r="G63"/>
  <c r="G57"/>
  <c r="G56"/>
  <c r="G55"/>
  <c r="G54"/>
  <c r="G52"/>
  <c r="G51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F114"/>
  <c r="F113"/>
  <c r="F112"/>
  <c r="F110"/>
  <c r="F109"/>
  <c r="F108"/>
  <c r="F107"/>
  <c r="F106"/>
  <c r="F105"/>
  <c r="F104"/>
  <c r="F102"/>
  <c r="F101"/>
  <c r="F100"/>
  <c r="F99"/>
  <c r="F98"/>
  <c r="F97"/>
  <c r="F96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3"/>
  <c r="F72"/>
  <c r="F71"/>
  <c r="F70"/>
  <c r="F69"/>
  <c r="F68"/>
  <c r="F67"/>
  <c r="F66"/>
  <c r="F64"/>
  <c r="F63"/>
  <c r="F57"/>
  <c r="F56"/>
  <c r="F55"/>
  <c r="F54"/>
  <c r="F52"/>
  <c r="F5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E114"/>
  <c r="E113"/>
  <c r="E112"/>
  <c r="E110"/>
  <c r="E109"/>
  <c r="E108"/>
  <c r="E107"/>
  <c r="E106"/>
  <c r="E105"/>
  <c r="E104"/>
  <c r="E102"/>
  <c r="E101"/>
  <c r="E100"/>
  <c r="E99"/>
  <c r="E98"/>
  <c r="E97"/>
  <c r="E96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3"/>
  <c r="E72"/>
  <c r="E71"/>
  <c r="E70"/>
  <c r="E69"/>
  <c r="E68"/>
  <c r="E67"/>
  <c r="E66"/>
  <c r="E64"/>
  <c r="E63"/>
  <c r="E57"/>
  <c r="E56"/>
  <c r="E55"/>
  <c r="E54"/>
  <c r="E52"/>
  <c r="E51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14" i="8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N1" i="9"/>
  <c r="I9" i="17"/>
  <c r="H9" s="1"/>
  <c r="I9" i="12"/>
  <c r="J9" s="1"/>
  <c r="E27" i="8"/>
  <c r="E26"/>
  <c r="E25"/>
  <c r="E24"/>
  <c r="E23"/>
  <c r="E22"/>
  <c r="E21"/>
  <c r="E20"/>
  <c r="E19"/>
  <c r="E18"/>
  <c r="E17"/>
  <c r="E16"/>
  <c r="E15"/>
  <c r="E14"/>
  <c r="E13"/>
  <c r="E12"/>
  <c r="E11"/>
  <c r="E10"/>
  <c r="E61" i="17"/>
  <c r="F61"/>
  <c r="G61"/>
  <c r="H61"/>
  <c r="E62"/>
  <c r="F62"/>
  <c r="G62"/>
  <c r="H62"/>
  <c r="H60"/>
  <c r="H59"/>
  <c r="E203"/>
  <c r="E202"/>
  <c r="E201"/>
  <c r="E195"/>
  <c r="E194"/>
  <c r="E193"/>
  <c r="E203" i="12"/>
  <c r="E202"/>
  <c r="E201"/>
  <c r="E195"/>
  <c r="E194"/>
  <c r="E193"/>
  <c r="D6" i="17"/>
  <c r="D5"/>
  <c r="Q1" i="9"/>
  <c r="D5" i="12"/>
  <c r="D4"/>
  <c r="N1" i="15"/>
  <c r="F9" i="8"/>
  <c r="F45" s="1"/>
  <c r="D6" i="12"/>
  <c r="F60" i="17"/>
  <c r="E60"/>
  <c r="E59"/>
  <c r="F59"/>
  <c r="G59"/>
  <c r="G60"/>
  <c r="D7"/>
  <c r="F20" i="8"/>
  <c r="F12"/>
  <c r="F19"/>
  <c r="F14"/>
  <c r="F15"/>
  <c r="F24"/>
  <c r="F22"/>
  <c r="F17"/>
  <c r="G9"/>
  <c r="F25"/>
  <c r="F18"/>
  <c r="F27"/>
  <c r="F10"/>
  <c r="F13"/>
  <c r="F11"/>
  <c r="F16"/>
  <c r="F21"/>
  <c r="F26"/>
  <c r="F23"/>
  <c r="G27"/>
  <c r="G12"/>
  <c r="G22"/>
  <c r="G11"/>
  <c r="G19"/>
  <c r="G17"/>
  <c r="G23"/>
  <c r="G13"/>
  <c r="G26"/>
  <c r="G21"/>
  <c r="G24"/>
  <c r="G10"/>
  <c r="G14"/>
  <c r="G18"/>
  <c r="G16"/>
  <c r="H9"/>
  <c r="G20"/>
  <c r="G25"/>
  <c r="G15"/>
  <c r="H16"/>
  <c r="H20"/>
  <c r="H17"/>
  <c r="H26"/>
  <c r="H12"/>
  <c r="H21"/>
  <c r="H25"/>
  <c r="H24"/>
  <c r="H13"/>
  <c r="I9"/>
  <c r="I46" s="1"/>
  <c r="H14"/>
  <c r="H18"/>
  <c r="H11"/>
  <c r="H10"/>
  <c r="H15"/>
  <c r="H22"/>
  <c r="H19"/>
  <c r="H27"/>
  <c r="H23"/>
  <c r="J9"/>
  <c r="J45" s="1"/>
  <c r="I23"/>
  <c r="I19"/>
  <c r="I12"/>
  <c r="I21"/>
  <c r="I10"/>
  <c r="I11"/>
  <c r="I20"/>
  <c r="I27"/>
  <c r="I22"/>
  <c r="I16"/>
  <c r="I14"/>
  <c r="I18"/>
  <c r="I13"/>
  <c r="I25"/>
  <c r="I24"/>
  <c r="I17"/>
  <c r="I26"/>
  <c r="I15"/>
  <c r="J12"/>
  <c r="J22"/>
  <c r="J11"/>
  <c r="J21"/>
  <c r="J10"/>
  <c r="J25"/>
  <c r="J16"/>
  <c r="K9"/>
  <c r="K44" s="1"/>
  <c r="J15"/>
  <c r="J20"/>
  <c r="J17"/>
  <c r="J26"/>
  <c r="J13"/>
  <c r="J14"/>
  <c r="J19"/>
  <c r="J24"/>
  <c r="J23"/>
  <c r="J27"/>
  <c r="J18"/>
  <c r="K21"/>
  <c r="K18"/>
  <c r="K12"/>
  <c r="K22"/>
  <c r="K17"/>
  <c r="K14"/>
  <c r="K19"/>
  <c r="L9"/>
  <c r="K15"/>
  <c r="K11"/>
  <c r="K27"/>
  <c r="K10"/>
  <c r="K20"/>
  <c r="K23"/>
  <c r="K16"/>
  <c r="K13"/>
  <c r="K26"/>
  <c r="K24"/>
  <c r="K25"/>
  <c r="L22"/>
  <c r="L10"/>
  <c r="L21"/>
  <c r="L19"/>
  <c r="L24"/>
  <c r="L26"/>
  <c r="L20"/>
  <c r="L18"/>
  <c r="L25"/>
  <c r="M9"/>
  <c r="M46" s="1"/>
  <c r="L13"/>
  <c r="L17"/>
  <c r="L11"/>
  <c r="L23"/>
  <c r="L15"/>
  <c r="L27"/>
  <c r="L14"/>
  <c r="L16"/>
  <c r="L12"/>
  <c r="M18"/>
  <c r="M24"/>
  <c r="N9"/>
  <c r="N45" s="1"/>
  <c r="M22"/>
  <c r="M25"/>
  <c r="M23"/>
  <c r="M20"/>
  <c r="M19"/>
  <c r="M14"/>
  <c r="M16"/>
  <c r="M21"/>
  <c r="M13"/>
  <c r="M27"/>
  <c r="M17"/>
  <c r="M15"/>
  <c r="M26"/>
  <c r="M12"/>
  <c r="M11"/>
  <c r="M10"/>
  <c r="N11"/>
  <c r="N15"/>
  <c r="N18"/>
  <c r="N10"/>
  <c r="N21"/>
  <c r="O9"/>
  <c r="O44" s="1"/>
  <c r="N22"/>
  <c r="N14"/>
  <c r="N17"/>
  <c r="N25"/>
  <c r="N26"/>
  <c r="N20"/>
  <c r="N27"/>
  <c r="N24"/>
  <c r="N12"/>
  <c r="N16"/>
  <c r="N19"/>
  <c r="N23"/>
  <c r="N13"/>
  <c r="P9"/>
  <c r="P47" s="1"/>
  <c r="O12"/>
  <c r="O16"/>
  <c r="O13"/>
  <c r="O15"/>
  <c r="O24"/>
  <c r="O23"/>
  <c r="O26"/>
  <c r="O21"/>
  <c r="O17"/>
  <c r="O14"/>
  <c r="O11"/>
  <c r="O18"/>
  <c r="O25"/>
  <c r="O10"/>
  <c r="O20"/>
  <c r="O19"/>
  <c r="O22"/>
  <c r="O27"/>
  <c r="P10"/>
  <c r="P21"/>
  <c r="P15"/>
  <c r="P20"/>
  <c r="Q9"/>
  <c r="P13"/>
  <c r="P12"/>
  <c r="P11"/>
  <c r="P23"/>
  <c r="P18"/>
  <c r="P27"/>
  <c r="P19"/>
  <c r="P17"/>
  <c r="P16"/>
  <c r="P22"/>
  <c r="P14"/>
  <c r="P25"/>
  <c r="P24"/>
  <c r="P26"/>
  <c r="Q19"/>
  <c r="Q15"/>
  <c r="Q18"/>
  <c r="Q21"/>
  <c r="Q20"/>
  <c r="Q11"/>
  <c r="Q22"/>
  <c r="Q25"/>
  <c r="Q26"/>
  <c r="Q13"/>
  <c r="R9"/>
  <c r="R45" s="1"/>
  <c r="Q14"/>
  <c r="Q12"/>
  <c r="Q27"/>
  <c r="Q23"/>
  <c r="Q16"/>
  <c r="Q10"/>
  <c r="Q24"/>
  <c r="Q17"/>
  <c r="R23"/>
  <c r="R19"/>
  <c r="S9"/>
  <c r="R18"/>
  <c r="R24"/>
  <c r="R14"/>
  <c r="R13"/>
  <c r="R27"/>
  <c r="R15"/>
  <c r="R21"/>
  <c r="R17"/>
  <c r="R25"/>
  <c r="R16"/>
  <c r="R26"/>
  <c r="R10"/>
  <c r="R20"/>
  <c r="R11"/>
  <c r="R12"/>
  <c r="R22"/>
  <c r="S21"/>
  <c r="S15"/>
  <c r="S14"/>
  <c r="S11"/>
  <c r="S27"/>
  <c r="S23"/>
  <c r="S12"/>
  <c r="S20"/>
  <c r="S25"/>
  <c r="S17"/>
  <c r="S22"/>
  <c r="S19"/>
  <c r="S10"/>
  <c r="S24"/>
  <c r="S16"/>
  <c r="S18"/>
  <c r="S26"/>
  <c r="S13"/>
  <c r="T9"/>
  <c r="T43" s="1"/>
  <c r="T23"/>
  <c r="T22"/>
  <c r="T18"/>
  <c r="T15"/>
  <c r="T14"/>
  <c r="T25"/>
  <c r="T27"/>
  <c r="T20"/>
  <c r="T19"/>
  <c r="T12"/>
  <c r="T26"/>
  <c r="T10"/>
  <c r="T21"/>
  <c r="T17"/>
  <c r="T16"/>
  <c r="T11"/>
  <c r="U9"/>
  <c r="T24"/>
  <c r="T13"/>
  <c r="U17"/>
  <c r="U24"/>
  <c r="U25"/>
  <c r="U12"/>
  <c r="U16"/>
  <c r="U14"/>
  <c r="U13"/>
  <c r="U26"/>
  <c r="U15"/>
  <c r="U20"/>
  <c r="U23"/>
  <c r="U11"/>
  <c r="U21"/>
  <c r="H9" i="12"/>
  <c r="G9" s="1"/>
  <c r="I1" i="14"/>
  <c r="I5" i="17"/>
  <c r="J9"/>
  <c r="K9"/>
  <c r="L9" s="1"/>
  <c r="S76"/>
  <c r="J112"/>
  <c r="AH25"/>
  <c r="F37"/>
  <c r="G100"/>
  <c r="P17"/>
  <c r="E112"/>
  <c r="L104"/>
  <c r="M17"/>
  <c r="I20"/>
  <c r="R94"/>
  <c r="L71"/>
  <c r="F26"/>
  <c r="AK28"/>
  <c r="I40"/>
  <c r="S44"/>
  <c r="E70"/>
  <c r="H85"/>
  <c r="Q102"/>
  <c r="AD107"/>
  <c r="G22"/>
  <c r="J34"/>
  <c r="N82"/>
  <c r="V80"/>
  <c r="G68"/>
  <c r="J79"/>
  <c r="O56"/>
  <c r="X35"/>
  <c r="G89"/>
  <c r="J99"/>
  <c r="O100"/>
  <c r="Y14"/>
  <c r="F42"/>
  <c r="G107"/>
  <c r="K14"/>
  <c r="M26"/>
  <c r="S98"/>
  <c r="S126" s="1"/>
  <c r="Y88"/>
  <c r="AL30"/>
  <c r="E27"/>
  <c r="F89"/>
  <c r="H40"/>
  <c r="I102"/>
  <c r="K63"/>
  <c r="M107"/>
  <c r="Q12"/>
  <c r="U28"/>
  <c r="AB14"/>
  <c r="E46"/>
  <c r="F110"/>
  <c r="J18"/>
  <c r="K91"/>
  <c r="Q56"/>
  <c r="U112"/>
  <c r="E63"/>
  <c r="G17"/>
  <c r="H79"/>
  <c r="J28"/>
  <c r="K106"/>
  <c r="N66"/>
  <c r="N240"/>
  <c r="Q84"/>
  <c r="V45"/>
  <c r="AD42"/>
  <c r="E71"/>
  <c r="F43"/>
  <c r="G24"/>
  <c r="G108"/>
  <c r="H86"/>
  <c r="J35"/>
  <c r="K15"/>
  <c r="L11"/>
  <c r="M27"/>
  <c r="N83"/>
  <c r="P33"/>
  <c r="Q105"/>
  <c r="R129"/>
  <c r="S99"/>
  <c r="V86"/>
  <c r="AE18"/>
  <c r="E10"/>
  <c r="E11"/>
  <c r="E19"/>
  <c r="E22"/>
  <c r="E113"/>
  <c r="E114"/>
  <c r="E92"/>
  <c r="F71"/>
  <c r="G43"/>
  <c r="H23"/>
  <c r="H107"/>
  <c r="I83"/>
  <c r="K38"/>
  <c r="L38"/>
  <c r="M69"/>
  <c r="O19"/>
  <c r="O235" s="1"/>
  <c r="P77"/>
  <c r="R44"/>
  <c r="W63"/>
  <c r="Z98"/>
  <c r="Z126"/>
  <c r="AF77"/>
  <c r="AF76"/>
  <c r="AF144" s="1"/>
  <c r="E20"/>
  <c r="E104"/>
  <c r="F82"/>
  <c r="G55"/>
  <c r="H33"/>
  <c r="I14"/>
  <c r="I94"/>
  <c r="J71"/>
  <c r="K49"/>
  <c r="M89"/>
  <c r="O38"/>
  <c r="P98"/>
  <c r="P126"/>
  <c r="R73"/>
  <c r="W105"/>
  <c r="X129" s="1"/>
  <c r="AA47"/>
  <c r="AG49"/>
  <c r="E26"/>
  <c r="E110"/>
  <c r="F88"/>
  <c r="G67"/>
  <c r="H39"/>
  <c r="I19"/>
  <c r="I235" s="1"/>
  <c r="I100"/>
  <c r="J78"/>
  <c r="L70"/>
  <c r="M106"/>
  <c r="Q11"/>
  <c r="R93"/>
  <c r="U22"/>
  <c r="X29"/>
  <c r="AA105"/>
  <c r="AB129"/>
  <c r="E28"/>
  <c r="E72"/>
  <c r="F45"/>
  <c r="F90"/>
  <c r="G25"/>
  <c r="G69"/>
  <c r="G109"/>
  <c r="H87"/>
  <c r="I22"/>
  <c r="I63"/>
  <c r="I104"/>
  <c r="J36"/>
  <c r="J80"/>
  <c r="K16"/>
  <c r="K66"/>
  <c r="K240" s="1"/>
  <c r="L13"/>
  <c r="L72"/>
  <c r="M108"/>
  <c r="N84"/>
  <c r="P34"/>
  <c r="Q13"/>
  <c r="Q106"/>
  <c r="R98"/>
  <c r="R126" s="1"/>
  <c r="S100"/>
  <c r="U29"/>
  <c r="V87"/>
  <c r="X36"/>
  <c r="Y97"/>
  <c r="AB15"/>
  <c r="AE19"/>
  <c r="AE235" s="1"/>
  <c r="AH26"/>
  <c r="AH182" s="1"/>
  <c r="AL66"/>
  <c r="AL240" s="1"/>
  <c r="E38"/>
  <c r="E84"/>
  <c r="F18"/>
  <c r="F57"/>
  <c r="F101"/>
  <c r="G35"/>
  <c r="G81"/>
  <c r="H15"/>
  <c r="H98"/>
  <c r="I75"/>
  <c r="J47"/>
  <c r="J90"/>
  <c r="K29"/>
  <c r="K80"/>
  <c r="L27"/>
  <c r="L90"/>
  <c r="M46"/>
  <c r="N24"/>
  <c r="N106"/>
  <c r="O82"/>
  <c r="Q35"/>
  <c r="R23"/>
  <c r="S20"/>
  <c r="T29"/>
  <c r="U72"/>
  <c r="W23"/>
  <c r="X81"/>
  <c r="Z39"/>
  <c r="AB92"/>
  <c r="AE101"/>
  <c r="AH110"/>
  <c r="E44"/>
  <c r="E89"/>
  <c r="F24"/>
  <c r="F69"/>
  <c r="F108"/>
  <c r="G41"/>
  <c r="G86"/>
  <c r="H64"/>
  <c r="H105"/>
  <c r="I129"/>
  <c r="I38"/>
  <c r="I81"/>
  <c r="I148" s="1"/>
  <c r="J16"/>
  <c r="J97"/>
  <c r="K34"/>
  <c r="K87"/>
  <c r="L34"/>
  <c r="L101"/>
  <c r="M66"/>
  <c r="M240" s="1"/>
  <c r="N39"/>
  <c r="O17"/>
  <c r="O98"/>
  <c r="O126" s="1"/>
  <c r="P75"/>
  <c r="S40"/>
  <c r="U104"/>
  <c r="X113"/>
  <c r="Z86"/>
  <c r="AC46"/>
  <c r="AF56"/>
  <c r="AI89"/>
  <c r="E45"/>
  <c r="E91"/>
  <c r="F25"/>
  <c r="F70"/>
  <c r="F109"/>
  <c r="G42"/>
  <c r="G87"/>
  <c r="H22"/>
  <c r="H67"/>
  <c r="H106"/>
  <c r="I39"/>
  <c r="I82"/>
  <c r="J17"/>
  <c r="J98"/>
  <c r="K37"/>
  <c r="K89"/>
  <c r="L37"/>
  <c r="L102"/>
  <c r="N40"/>
  <c r="O18"/>
  <c r="O99"/>
  <c r="P76"/>
  <c r="P143" s="1"/>
  <c r="R42"/>
  <c r="S42"/>
  <c r="U110"/>
  <c r="Y13"/>
  <c r="Z94"/>
  <c r="AC67"/>
  <c r="AF75"/>
  <c r="AF143"/>
  <c r="AI113"/>
  <c r="E29"/>
  <c r="E47"/>
  <c r="E75"/>
  <c r="E93"/>
  <c r="F27"/>
  <c r="F46"/>
  <c r="F72"/>
  <c r="F91"/>
  <c r="F113"/>
  <c r="G26"/>
  <c r="G44"/>
  <c r="G70"/>
  <c r="G90"/>
  <c r="G110"/>
  <c r="H24"/>
  <c r="H69"/>
  <c r="H88"/>
  <c r="H108"/>
  <c r="I23"/>
  <c r="I64"/>
  <c r="I85"/>
  <c r="I105"/>
  <c r="J129" s="1"/>
  <c r="J19"/>
  <c r="J235" s="1"/>
  <c r="J37"/>
  <c r="J81"/>
  <c r="J100"/>
  <c r="K18"/>
  <c r="K39"/>
  <c r="K67"/>
  <c r="K93"/>
  <c r="L15"/>
  <c r="L39"/>
  <c r="L73"/>
  <c r="L107"/>
  <c r="M33"/>
  <c r="M70"/>
  <c r="M109"/>
  <c r="N42"/>
  <c r="N86"/>
  <c r="O20"/>
  <c r="O101"/>
  <c r="P35"/>
  <c r="P78"/>
  <c r="Q14"/>
  <c r="Q107"/>
  <c r="R45"/>
  <c r="R99"/>
  <c r="S45"/>
  <c r="S101"/>
  <c r="T64"/>
  <c r="U30"/>
  <c r="U113"/>
  <c r="V88"/>
  <c r="W64"/>
  <c r="W42"/>
  <c r="W177" s="1"/>
  <c r="X37"/>
  <c r="Y16"/>
  <c r="Y99"/>
  <c r="Z100"/>
  <c r="AB16"/>
  <c r="AC70"/>
  <c r="AE20"/>
  <c r="AF78"/>
  <c r="AH27"/>
  <c r="AJ11"/>
  <c r="AL67"/>
  <c r="E16"/>
  <c r="E35"/>
  <c r="E55"/>
  <c r="E80"/>
  <c r="E100"/>
  <c r="F15"/>
  <c r="F33"/>
  <c r="F79"/>
  <c r="F98"/>
  <c r="G13"/>
  <c r="G32"/>
  <c r="G51"/>
  <c r="G77"/>
  <c r="G96"/>
  <c r="H12"/>
  <c r="H30"/>
  <c r="H48"/>
  <c r="H76"/>
  <c r="H94"/>
  <c r="I28"/>
  <c r="I47"/>
  <c r="I71"/>
  <c r="I90"/>
  <c r="I112"/>
  <c r="J25"/>
  <c r="J67"/>
  <c r="J87"/>
  <c r="J108"/>
  <c r="K24"/>
  <c r="K46"/>
  <c r="K76"/>
  <c r="K101"/>
  <c r="L22"/>
  <c r="L84"/>
  <c r="M12"/>
  <c r="M42"/>
  <c r="M86"/>
  <c r="N20"/>
  <c r="N101"/>
  <c r="O35"/>
  <c r="O79"/>
  <c r="P13"/>
  <c r="P93"/>
  <c r="Q80"/>
  <c r="R20"/>
  <c r="S16"/>
  <c r="S70"/>
  <c r="T23"/>
  <c r="T87"/>
  <c r="U63"/>
  <c r="V37"/>
  <c r="W15"/>
  <c r="X72"/>
  <c r="Y44"/>
  <c r="Z29"/>
  <c r="AA37"/>
  <c r="AB75"/>
  <c r="AD25"/>
  <c r="AE83"/>
  <c r="AE81"/>
  <c r="AE148" s="1"/>
  <c r="AH90"/>
  <c r="AJ100"/>
  <c r="E18"/>
  <c r="E36"/>
  <c r="E56"/>
  <c r="E81"/>
  <c r="E101"/>
  <c r="F16"/>
  <c r="F34"/>
  <c r="F55"/>
  <c r="F80"/>
  <c r="F99"/>
  <c r="G14"/>
  <c r="G33"/>
  <c r="G78"/>
  <c r="G98"/>
  <c r="H13"/>
  <c r="H49"/>
  <c r="H77"/>
  <c r="H96"/>
  <c r="I11"/>
  <c r="I30"/>
  <c r="I72"/>
  <c r="I91"/>
  <c r="I113"/>
  <c r="J26"/>
  <c r="J44"/>
  <c r="J69"/>
  <c r="J88"/>
  <c r="J109"/>
  <c r="K25"/>
  <c r="K99"/>
  <c r="K156"/>
  <c r="K47"/>
  <c r="K77"/>
  <c r="K104"/>
  <c r="L24"/>
  <c r="L49"/>
  <c r="L87"/>
  <c r="M15"/>
  <c r="M87"/>
  <c r="N63"/>
  <c r="N104"/>
  <c r="O36"/>
  <c r="O173"/>
  <c r="O80"/>
  <c r="P14"/>
  <c r="P94"/>
  <c r="Q33"/>
  <c r="Q82"/>
  <c r="R69"/>
  <c r="S18"/>
  <c r="S72"/>
  <c r="T24"/>
  <c r="T93"/>
  <c r="U70"/>
  <c r="V42"/>
  <c r="W20"/>
  <c r="W102"/>
  <c r="X79"/>
  <c r="Z37"/>
  <c r="AA45"/>
  <c r="AB90"/>
  <c r="AD39"/>
  <c r="AE99"/>
  <c r="AG47"/>
  <c r="AH107"/>
  <c r="AK22"/>
  <c r="E235"/>
  <c r="E37"/>
  <c r="E57"/>
  <c r="E83"/>
  <c r="E102"/>
  <c r="F17"/>
  <c r="F35"/>
  <c r="F56"/>
  <c r="F81"/>
  <c r="F100"/>
  <c r="G16"/>
  <c r="G34"/>
  <c r="G54"/>
  <c r="G79"/>
  <c r="G99"/>
  <c r="H14"/>
  <c r="H78"/>
  <c r="H97"/>
  <c r="I12"/>
  <c r="I49"/>
  <c r="I73"/>
  <c r="I93"/>
  <c r="I114"/>
  <c r="J27"/>
  <c r="J162"/>
  <c r="J45"/>
  <c r="J70"/>
  <c r="J89"/>
  <c r="J110"/>
  <c r="K28"/>
  <c r="K78"/>
  <c r="K105"/>
  <c r="L129"/>
  <c r="L25"/>
  <c r="L89"/>
  <c r="M16"/>
  <c r="M44"/>
  <c r="M88"/>
  <c r="N23"/>
  <c r="N64"/>
  <c r="N105"/>
  <c r="O129" s="1"/>
  <c r="O37"/>
  <c r="O174" s="1"/>
  <c r="O81"/>
  <c r="P15"/>
  <c r="P97"/>
  <c r="Q34"/>
  <c r="Q83"/>
  <c r="R22"/>
  <c r="R72"/>
  <c r="S19"/>
  <c r="S235"/>
  <c r="S75"/>
  <c r="T25"/>
  <c r="T94"/>
  <c r="U71"/>
  <c r="W22"/>
  <c r="W104"/>
  <c r="X80"/>
  <c r="Z38"/>
  <c r="AA46"/>
  <c r="AB91"/>
  <c r="AE100"/>
  <c r="AH108"/>
  <c r="AK27"/>
  <c r="E12"/>
  <c r="E21"/>
  <c r="E30"/>
  <c r="E39"/>
  <c r="E48"/>
  <c r="E66"/>
  <c r="E240"/>
  <c r="E76"/>
  <c r="E85"/>
  <c r="E94"/>
  <c r="E105"/>
  <c r="F10"/>
  <c r="F19"/>
  <c r="F235" s="1"/>
  <c r="F29"/>
  <c r="F38"/>
  <c r="F47"/>
  <c r="F63"/>
  <c r="F73"/>
  <c r="F83"/>
  <c r="F92"/>
  <c r="F104"/>
  <c r="F114"/>
  <c r="G18"/>
  <c r="G27"/>
  <c r="G36"/>
  <c r="G45"/>
  <c r="G56"/>
  <c r="G72"/>
  <c r="G82"/>
  <c r="G91"/>
  <c r="G101"/>
  <c r="G112"/>
  <c r="H16"/>
  <c r="H25"/>
  <c r="H35"/>
  <c r="H44"/>
  <c r="H70"/>
  <c r="H80"/>
  <c r="H89"/>
  <c r="H99"/>
  <c r="H110"/>
  <c r="I15"/>
  <c r="I24"/>
  <c r="I33"/>
  <c r="I42"/>
  <c r="I66"/>
  <c r="I240" s="1"/>
  <c r="I77"/>
  <c r="I86"/>
  <c r="I106"/>
  <c r="J11"/>
  <c r="J20"/>
  <c r="J29"/>
  <c r="J39"/>
  <c r="J72"/>
  <c r="J82"/>
  <c r="J91"/>
  <c r="J101"/>
  <c r="J114"/>
  <c r="K20"/>
  <c r="K30"/>
  <c r="K84"/>
  <c r="K40"/>
  <c r="K175" s="1"/>
  <c r="K81"/>
  <c r="K94"/>
  <c r="K107"/>
  <c r="L16"/>
  <c r="L29"/>
  <c r="L40"/>
  <c r="L78"/>
  <c r="L79"/>
  <c r="L145" s="1"/>
  <c r="L92"/>
  <c r="L110"/>
  <c r="M18"/>
  <c r="M34"/>
  <c r="M77"/>
  <c r="N11"/>
  <c r="N29"/>
  <c r="N72"/>
  <c r="N91"/>
  <c r="N113"/>
  <c r="O26"/>
  <c r="O44"/>
  <c r="O88"/>
  <c r="O108"/>
  <c r="P22"/>
  <c r="P64"/>
  <c r="P84"/>
  <c r="P104"/>
  <c r="Q42"/>
  <c r="Q91"/>
  <c r="R30"/>
  <c r="R82"/>
  <c r="R108"/>
  <c r="S28"/>
  <c r="S84"/>
  <c r="S112"/>
  <c r="T38"/>
  <c r="T75"/>
  <c r="T108"/>
  <c r="U40"/>
  <c r="U84"/>
  <c r="V18"/>
  <c r="V99"/>
  <c r="W33"/>
  <c r="W77"/>
  <c r="X11"/>
  <c r="X91"/>
  <c r="Y26"/>
  <c r="Y182" s="1"/>
  <c r="Y112"/>
  <c r="Z56"/>
  <c r="AA11"/>
  <c r="AA70"/>
  <c r="AB33"/>
  <c r="AC90"/>
  <c r="AD67"/>
  <c r="AE39"/>
  <c r="AF17"/>
  <c r="AF99"/>
  <c r="AG76"/>
  <c r="AH47"/>
  <c r="AJ37"/>
  <c r="AK67"/>
  <c r="AL102"/>
  <c r="E13"/>
  <c r="E31"/>
  <c r="E40"/>
  <c r="E51"/>
  <c r="E67"/>
  <c r="E77"/>
  <c r="E86"/>
  <c r="E96"/>
  <c r="E106"/>
  <c r="F11"/>
  <c r="F21"/>
  <c r="F236"/>
  <c r="F30"/>
  <c r="F39"/>
  <c r="F48"/>
  <c r="F64"/>
  <c r="F75"/>
  <c r="F84"/>
  <c r="F94"/>
  <c r="F105"/>
  <c r="G10"/>
  <c r="G19"/>
  <c r="G235" s="1"/>
  <c r="G28"/>
  <c r="G37"/>
  <c r="G46"/>
  <c r="G63"/>
  <c r="G73"/>
  <c r="G83"/>
  <c r="G92"/>
  <c r="G102"/>
  <c r="G113"/>
  <c r="H17"/>
  <c r="H27"/>
  <c r="H36"/>
  <c r="H45"/>
  <c r="H56"/>
  <c r="H71"/>
  <c r="H81"/>
  <c r="H90"/>
  <c r="H101"/>
  <c r="H112"/>
  <c r="I16"/>
  <c r="I25"/>
  <c r="I34"/>
  <c r="I78"/>
  <c r="I87"/>
  <c r="I97"/>
  <c r="I107"/>
  <c r="J12"/>
  <c r="J40"/>
  <c r="J49"/>
  <c r="J63"/>
  <c r="J73"/>
  <c r="J83"/>
  <c r="J92"/>
  <c r="J104"/>
  <c r="K70"/>
  <c r="K110"/>
  <c r="L18"/>
  <c r="L30"/>
  <c r="L80"/>
  <c r="L93"/>
  <c r="L112"/>
  <c r="M22"/>
  <c r="M35"/>
  <c r="M78"/>
  <c r="M97"/>
  <c r="N12"/>
  <c r="N49"/>
  <c r="N73"/>
  <c r="N92"/>
  <c r="N114"/>
  <c r="O27"/>
  <c r="O45"/>
  <c r="O70"/>
  <c r="O89"/>
  <c r="O109"/>
  <c r="P23"/>
  <c r="P42"/>
  <c r="P66"/>
  <c r="P240" s="1"/>
  <c r="P85"/>
  <c r="P106"/>
  <c r="Q22"/>
  <c r="Q70"/>
  <c r="Q92"/>
  <c r="R11"/>
  <c r="R83"/>
  <c r="R109"/>
  <c r="S29"/>
  <c r="S56"/>
  <c r="S85"/>
  <c r="S149" s="1"/>
  <c r="T11"/>
  <c r="T40"/>
  <c r="T76"/>
  <c r="T114"/>
  <c r="U46"/>
  <c r="U89"/>
  <c r="V24"/>
  <c r="V67"/>
  <c r="V106"/>
  <c r="W39"/>
  <c r="W82"/>
  <c r="X17"/>
  <c r="X98"/>
  <c r="X126"/>
  <c r="Y75"/>
  <c r="Z14"/>
  <c r="AA19"/>
  <c r="AA235"/>
  <c r="AA84"/>
  <c r="AB47"/>
  <c r="AC25"/>
  <c r="AC107"/>
  <c r="AD83"/>
  <c r="AE56"/>
  <c r="AG91"/>
  <c r="AJ64"/>
  <c r="AK93"/>
  <c r="E14"/>
  <c r="E23"/>
  <c r="E32"/>
  <c r="E42"/>
  <c r="E68"/>
  <c r="E78"/>
  <c r="E87"/>
  <c r="E97"/>
  <c r="E107"/>
  <c r="F13"/>
  <c r="F22"/>
  <c r="F31"/>
  <c r="F40"/>
  <c r="F49"/>
  <c r="F66"/>
  <c r="F240" s="1"/>
  <c r="F76"/>
  <c r="F86"/>
  <c r="F96"/>
  <c r="F106"/>
  <c r="G11"/>
  <c r="G20"/>
  <c r="G29"/>
  <c r="G38"/>
  <c r="G48"/>
  <c r="G64"/>
  <c r="G75"/>
  <c r="G84"/>
  <c r="G93"/>
  <c r="G104"/>
  <c r="G114"/>
  <c r="H19"/>
  <c r="H235" s="1"/>
  <c r="H28"/>
  <c r="H37"/>
  <c r="H46"/>
  <c r="H72"/>
  <c r="H82"/>
  <c r="H92"/>
  <c r="H102"/>
  <c r="H113"/>
  <c r="I17"/>
  <c r="I26"/>
  <c r="I35"/>
  <c r="I44"/>
  <c r="I56"/>
  <c r="I69"/>
  <c r="I79"/>
  <c r="I88"/>
  <c r="I98"/>
  <c r="I108"/>
  <c r="J13"/>
  <c r="J23"/>
  <c r="J64"/>
  <c r="J75"/>
  <c r="J84"/>
  <c r="J94"/>
  <c r="J105"/>
  <c r="K129" s="1"/>
  <c r="K12"/>
  <c r="K22"/>
  <c r="K42"/>
  <c r="K71"/>
  <c r="K85"/>
  <c r="K97"/>
  <c r="K112"/>
  <c r="L19"/>
  <c r="L235" s="1"/>
  <c r="L46"/>
  <c r="L63"/>
  <c r="L81"/>
  <c r="L97"/>
  <c r="L113"/>
  <c r="M24"/>
  <c r="M36"/>
  <c r="M56"/>
  <c r="M79"/>
  <c r="M98"/>
  <c r="M126" s="1"/>
  <c r="N13"/>
  <c r="N75"/>
  <c r="N94"/>
  <c r="O28"/>
  <c r="O46"/>
  <c r="O43" s="1"/>
  <c r="O176" s="1"/>
  <c r="O71"/>
  <c r="O90"/>
  <c r="O110"/>
  <c r="P25"/>
  <c r="P67"/>
  <c r="P86"/>
  <c r="P107"/>
  <c r="Q24"/>
  <c r="Q44"/>
  <c r="Q72"/>
  <c r="Q93"/>
  <c r="R12"/>
  <c r="R33"/>
  <c r="R56"/>
  <c r="R84"/>
  <c r="R112"/>
  <c r="S87"/>
  <c r="T13"/>
  <c r="T77"/>
  <c r="U47"/>
  <c r="U91"/>
  <c r="V25"/>
  <c r="V107"/>
  <c r="W40"/>
  <c r="W83"/>
  <c r="X18"/>
  <c r="X99"/>
  <c r="Y33"/>
  <c r="Y76"/>
  <c r="Z15"/>
  <c r="Z69"/>
  <c r="AA85"/>
  <c r="AC26"/>
  <c r="AC108"/>
  <c r="AD84"/>
  <c r="AF33"/>
  <c r="AG12"/>
  <c r="AG92"/>
  <c r="AH69"/>
  <c r="AJ66"/>
  <c r="AK99"/>
  <c r="E15"/>
  <c r="E24"/>
  <c r="E34"/>
  <c r="E43"/>
  <c r="E54"/>
  <c r="E69"/>
  <c r="E79"/>
  <c r="E88"/>
  <c r="E98"/>
  <c r="E109"/>
  <c r="F14"/>
  <c r="F23"/>
  <c r="F32"/>
  <c r="F41"/>
  <c r="F51"/>
  <c r="F67"/>
  <c r="F78"/>
  <c r="F233" s="1"/>
  <c r="F87"/>
  <c r="F97"/>
  <c r="F107"/>
  <c r="G12"/>
  <c r="G21"/>
  <c r="G236" s="1"/>
  <c r="G30"/>
  <c r="G40"/>
  <c r="G49"/>
  <c r="G66"/>
  <c r="G240"/>
  <c r="G76"/>
  <c r="G85"/>
  <c r="G94"/>
  <c r="G105"/>
  <c r="H11"/>
  <c r="H20"/>
  <c r="H29"/>
  <c r="H38"/>
  <c r="H47"/>
  <c r="H63"/>
  <c r="H73"/>
  <c r="H84"/>
  <c r="H93"/>
  <c r="H104"/>
  <c r="H114"/>
  <c r="I18"/>
  <c r="I27"/>
  <c r="I36"/>
  <c r="I46"/>
  <c r="I70"/>
  <c r="I80"/>
  <c r="I89"/>
  <c r="I99"/>
  <c r="I109"/>
  <c r="J15"/>
  <c r="J24"/>
  <c r="J33"/>
  <c r="J42"/>
  <c r="J66"/>
  <c r="J76"/>
  <c r="J86"/>
  <c r="J106"/>
  <c r="K13"/>
  <c r="K23"/>
  <c r="K33"/>
  <c r="K44"/>
  <c r="K75"/>
  <c r="K11"/>
  <c r="K136" s="1"/>
  <c r="K86"/>
  <c r="K100"/>
  <c r="K114"/>
  <c r="L33"/>
  <c r="L47"/>
  <c r="L82"/>
  <c r="L99"/>
  <c r="L114"/>
  <c r="M25"/>
  <c r="M40"/>
  <c r="M80"/>
  <c r="M99"/>
  <c r="N15"/>
  <c r="N33"/>
  <c r="N76"/>
  <c r="O11"/>
  <c r="O29"/>
  <c r="O72"/>
  <c r="O91"/>
  <c r="O112"/>
  <c r="P26"/>
  <c r="P44"/>
  <c r="P88"/>
  <c r="P108"/>
  <c r="Q25"/>
  <c r="Q45"/>
  <c r="Q73"/>
  <c r="R13"/>
  <c r="R35"/>
  <c r="R85"/>
  <c r="R113"/>
  <c r="S89"/>
  <c r="T14"/>
  <c r="T78"/>
  <c r="U12"/>
  <c r="U92"/>
  <c r="V26"/>
  <c r="V69"/>
  <c r="V108"/>
  <c r="W85"/>
  <c r="X19"/>
  <c r="X235" s="1"/>
  <c r="X100"/>
  <c r="Y34"/>
  <c r="Y77"/>
  <c r="Z17"/>
  <c r="Z72"/>
  <c r="AA22"/>
  <c r="AA86"/>
  <c r="AB49"/>
  <c r="AC27"/>
  <c r="AC109"/>
  <c r="AD85"/>
  <c r="AF35"/>
  <c r="AG13"/>
  <c r="AG93"/>
  <c r="AH70"/>
  <c r="AJ67"/>
  <c r="AK100"/>
  <c r="E17"/>
  <c r="E25"/>
  <c r="E33"/>
  <c r="E41"/>
  <c r="E49"/>
  <c r="E64"/>
  <c r="E73"/>
  <c r="E82"/>
  <c r="E90"/>
  <c r="E99"/>
  <c r="E108"/>
  <c r="F12"/>
  <c r="F20"/>
  <c r="F28"/>
  <c r="F36"/>
  <c r="F44"/>
  <c r="F54"/>
  <c r="F68"/>
  <c r="F77"/>
  <c r="F85"/>
  <c r="F93"/>
  <c r="F102"/>
  <c r="F112"/>
  <c r="G15"/>
  <c r="G23"/>
  <c r="G31"/>
  <c r="G39"/>
  <c r="G47"/>
  <c r="G57"/>
  <c r="G71"/>
  <c r="G80"/>
  <c r="G88"/>
  <c r="G97"/>
  <c r="G106"/>
  <c r="H18"/>
  <c r="H26"/>
  <c r="H34"/>
  <c r="H42"/>
  <c r="H66"/>
  <c r="H240"/>
  <c r="H75"/>
  <c r="H83"/>
  <c r="H91"/>
  <c r="H100"/>
  <c r="H109"/>
  <c r="I13"/>
  <c r="I29"/>
  <c r="I37"/>
  <c r="I45"/>
  <c r="I67"/>
  <c r="I76"/>
  <c r="I144"/>
  <c r="I84"/>
  <c r="I92"/>
  <c r="I153" s="1"/>
  <c r="I101"/>
  <c r="I110"/>
  <c r="J14"/>
  <c r="J22"/>
  <c r="J167" s="1"/>
  <c r="J30"/>
  <c r="J38"/>
  <c r="J46"/>
  <c r="J56"/>
  <c r="J77"/>
  <c r="J85"/>
  <c r="J93"/>
  <c r="J102"/>
  <c r="J113"/>
  <c r="K17"/>
  <c r="K26"/>
  <c r="K36"/>
  <c r="K45"/>
  <c r="K56"/>
  <c r="K69"/>
  <c r="K79"/>
  <c r="K146" s="1"/>
  <c r="K88"/>
  <c r="K98"/>
  <c r="K126"/>
  <c r="K109"/>
  <c r="L14"/>
  <c r="L23"/>
  <c r="L64"/>
  <c r="L76"/>
  <c r="L85"/>
  <c r="L94"/>
  <c r="L105"/>
  <c r="M129" s="1"/>
  <c r="M19"/>
  <c r="M235" s="1"/>
  <c r="M28"/>
  <c r="M38"/>
  <c r="M47"/>
  <c r="M71"/>
  <c r="M81"/>
  <c r="M90"/>
  <c r="M100"/>
  <c r="M112"/>
  <c r="N16"/>
  <c r="N25"/>
  <c r="N34"/>
  <c r="N67"/>
  <c r="N78"/>
  <c r="N87"/>
  <c r="N97"/>
  <c r="N107"/>
  <c r="O12"/>
  <c r="O30"/>
  <c r="O40"/>
  <c r="O49"/>
  <c r="O63"/>
  <c r="O142" s="1"/>
  <c r="O73"/>
  <c r="O83"/>
  <c r="O92"/>
  <c r="O102"/>
  <c r="O22"/>
  <c r="O114"/>
  <c r="P18"/>
  <c r="P27"/>
  <c r="P36"/>
  <c r="P45"/>
  <c r="P56"/>
  <c r="P69"/>
  <c r="P80"/>
  <c r="P89"/>
  <c r="P99"/>
  <c r="P156"/>
  <c r="P109"/>
  <c r="Q16"/>
  <c r="Q26"/>
  <c r="Q36"/>
  <c r="Q63"/>
  <c r="Q75"/>
  <c r="Q85"/>
  <c r="Q97"/>
  <c r="Q108"/>
  <c r="R14"/>
  <c r="R26"/>
  <c r="R182"/>
  <c r="R36"/>
  <c r="R46"/>
  <c r="R75"/>
  <c r="R88"/>
  <c r="R101"/>
  <c r="S22"/>
  <c r="S35"/>
  <c r="S46"/>
  <c r="S64"/>
  <c r="S78"/>
  <c r="S90"/>
  <c r="S105"/>
  <c r="T129" s="1"/>
  <c r="T15"/>
  <c r="T44"/>
  <c r="T66"/>
  <c r="T240" s="1"/>
  <c r="T82"/>
  <c r="T97"/>
  <c r="U13"/>
  <c r="U49"/>
  <c r="U75"/>
  <c r="U93"/>
  <c r="U114"/>
  <c r="V27"/>
  <c r="V46"/>
  <c r="V70"/>
  <c r="V89"/>
  <c r="V110"/>
  <c r="W24"/>
  <c r="W178"/>
  <c r="W66"/>
  <c r="W240" s="1"/>
  <c r="W86"/>
  <c r="W106"/>
  <c r="X20"/>
  <c r="X39"/>
  <c r="X82"/>
  <c r="X147" s="1"/>
  <c r="X101"/>
  <c r="Y17"/>
  <c r="Y35"/>
  <c r="Y79"/>
  <c r="Y100"/>
  <c r="Z18"/>
  <c r="Z42"/>
  <c r="Z75"/>
  <c r="Z101"/>
  <c r="AA23"/>
  <c r="AA87"/>
  <c r="AB17"/>
  <c r="AB94"/>
  <c r="AC28"/>
  <c r="AC71"/>
  <c r="AC110"/>
  <c r="AD86"/>
  <c r="AE63"/>
  <c r="AE102"/>
  <c r="AF36"/>
  <c r="AF79"/>
  <c r="AG14"/>
  <c r="AG94"/>
  <c r="AH29"/>
  <c r="AH71"/>
  <c r="AH112"/>
  <c r="AJ12"/>
  <c r="AJ70"/>
  <c r="AK29"/>
  <c r="AK101"/>
  <c r="L42"/>
  <c r="L67"/>
  <c r="L77"/>
  <c r="L86"/>
  <c r="L150"/>
  <c r="L106"/>
  <c r="M11"/>
  <c r="M20"/>
  <c r="M30"/>
  <c r="M39"/>
  <c r="M175"/>
  <c r="M72"/>
  <c r="M82"/>
  <c r="M91"/>
  <c r="M102"/>
  <c r="M113"/>
  <c r="N17"/>
  <c r="N26"/>
  <c r="N182"/>
  <c r="N35"/>
  <c r="N44"/>
  <c r="N69"/>
  <c r="N79"/>
  <c r="N88"/>
  <c r="N98"/>
  <c r="N126" s="1"/>
  <c r="N108"/>
  <c r="O13"/>
  <c r="O64"/>
  <c r="O75"/>
  <c r="O76"/>
  <c r="O84"/>
  <c r="O93"/>
  <c r="O105"/>
  <c r="P129" s="1"/>
  <c r="P19"/>
  <c r="P235" s="1"/>
  <c r="P28"/>
  <c r="P37"/>
  <c r="P46"/>
  <c r="P71"/>
  <c r="P81"/>
  <c r="P90"/>
  <c r="P100"/>
  <c r="P110"/>
  <c r="Q17"/>
  <c r="Q27"/>
  <c r="Q38"/>
  <c r="Q49"/>
  <c r="Q64"/>
  <c r="Q76"/>
  <c r="Q87"/>
  <c r="Q98"/>
  <c r="Q126"/>
  <c r="Q109"/>
  <c r="R17"/>
  <c r="R27"/>
  <c r="R37"/>
  <c r="R47"/>
  <c r="R63"/>
  <c r="R76"/>
  <c r="R89"/>
  <c r="R102"/>
  <c r="S11"/>
  <c r="S23"/>
  <c r="S36"/>
  <c r="S47"/>
  <c r="S66"/>
  <c r="S240" s="1"/>
  <c r="S79"/>
  <c r="S91"/>
  <c r="S108"/>
  <c r="T16"/>
  <c r="T47"/>
  <c r="T67"/>
  <c r="T84"/>
  <c r="T104"/>
  <c r="U18"/>
  <c r="U37"/>
  <c r="U80"/>
  <c r="U100"/>
  <c r="V15"/>
  <c r="V33"/>
  <c r="V77"/>
  <c r="W11"/>
  <c r="W30"/>
  <c r="W72"/>
  <c r="W91"/>
  <c r="W113"/>
  <c r="X26"/>
  <c r="X44"/>
  <c r="X69"/>
  <c r="X88"/>
  <c r="X108"/>
  <c r="Y22"/>
  <c r="Y64"/>
  <c r="Y84"/>
  <c r="Y108"/>
  <c r="Z25"/>
  <c r="Z83"/>
  <c r="Z110"/>
  <c r="AA67"/>
  <c r="AA101"/>
  <c r="AB30"/>
  <c r="AB71"/>
  <c r="AB110"/>
  <c r="AC87"/>
  <c r="AD63"/>
  <c r="AD102"/>
  <c r="AE36"/>
  <c r="AE79"/>
  <c r="AF14"/>
  <c r="AF94"/>
  <c r="AG29"/>
  <c r="AG71"/>
  <c r="AG112"/>
  <c r="AH87"/>
  <c r="AI26"/>
  <c r="AI83"/>
  <c r="AJ34"/>
  <c r="AJ92"/>
  <c r="AK56"/>
  <c r="AL23"/>
  <c r="AL94"/>
  <c r="M49"/>
  <c r="M63"/>
  <c r="M73"/>
  <c r="M83"/>
  <c r="M93"/>
  <c r="M104"/>
  <c r="M114"/>
  <c r="N18"/>
  <c r="N27"/>
  <c r="N36"/>
  <c r="N45"/>
  <c r="N70"/>
  <c r="N80"/>
  <c r="N89"/>
  <c r="N99"/>
  <c r="N109"/>
  <c r="O14"/>
  <c r="O24"/>
  <c r="O33"/>
  <c r="O42"/>
  <c r="O66"/>
  <c r="O240" s="1"/>
  <c r="O85"/>
  <c r="O106"/>
  <c r="P11"/>
  <c r="P20"/>
  <c r="P29"/>
  <c r="P38"/>
  <c r="P47"/>
  <c r="P72"/>
  <c r="P82"/>
  <c r="P91"/>
  <c r="P101"/>
  <c r="P113"/>
  <c r="Q18"/>
  <c r="Q29"/>
  <c r="Q40"/>
  <c r="Q66"/>
  <c r="Q240" s="1"/>
  <c r="Q77"/>
  <c r="Q88"/>
  <c r="Q99"/>
  <c r="Q112"/>
  <c r="R18"/>
  <c r="R28"/>
  <c r="R38"/>
  <c r="R49"/>
  <c r="R64"/>
  <c r="R78"/>
  <c r="R91"/>
  <c r="R104"/>
  <c r="S13"/>
  <c r="S26"/>
  <c r="S37"/>
  <c r="S81"/>
  <c r="S93"/>
  <c r="S109"/>
  <c r="T20"/>
  <c r="T33"/>
  <c r="T49"/>
  <c r="T85"/>
  <c r="T105"/>
  <c r="U129" s="1"/>
  <c r="U20"/>
  <c r="U38"/>
  <c r="U81"/>
  <c r="U101"/>
  <c r="V16"/>
  <c r="V34"/>
  <c r="V78"/>
  <c r="V97"/>
  <c r="W12"/>
  <c r="W49"/>
  <c r="W73"/>
  <c r="W170" s="1"/>
  <c r="W93"/>
  <c r="W114"/>
  <c r="X27"/>
  <c r="X45"/>
  <c r="X70"/>
  <c r="X89"/>
  <c r="X109"/>
  <c r="Y24"/>
  <c r="Y42"/>
  <c r="Y66"/>
  <c r="Y240"/>
  <c r="Y85"/>
  <c r="Y109"/>
  <c r="Z26"/>
  <c r="Z84"/>
  <c r="Z112"/>
  <c r="AA102"/>
  <c r="AB72"/>
  <c r="AB113"/>
  <c r="AC44"/>
  <c r="AC88"/>
  <c r="AD22"/>
  <c r="AD64"/>
  <c r="AD104"/>
  <c r="AE37"/>
  <c r="AF15"/>
  <c r="AG30"/>
  <c r="AG72"/>
  <c r="AG113"/>
  <c r="AH45"/>
  <c r="AH88"/>
  <c r="AI27"/>
  <c r="AI86"/>
  <c r="AJ35"/>
  <c r="AJ98"/>
  <c r="AJ126" s="1"/>
  <c r="AK64"/>
  <c r="AL28"/>
  <c r="AL100"/>
  <c r="K72"/>
  <c r="K83"/>
  <c r="K92"/>
  <c r="K102"/>
  <c r="K113"/>
  <c r="L17"/>
  <c r="L26"/>
  <c r="L161" s="1"/>
  <c r="L35"/>
  <c r="L45"/>
  <c r="L56"/>
  <c r="L69"/>
  <c r="L88"/>
  <c r="L98"/>
  <c r="L126" s="1"/>
  <c r="L108"/>
  <c r="M14"/>
  <c r="M23"/>
  <c r="M64"/>
  <c r="M75"/>
  <c r="M85"/>
  <c r="M94"/>
  <c r="M105"/>
  <c r="N129"/>
  <c r="N19"/>
  <c r="N235"/>
  <c r="N28"/>
  <c r="N37"/>
  <c r="N47"/>
  <c r="N71"/>
  <c r="N81"/>
  <c r="N90"/>
  <c r="N100"/>
  <c r="N110"/>
  <c r="O16"/>
  <c r="O25"/>
  <c r="O34"/>
  <c r="O67"/>
  <c r="O77"/>
  <c r="O87"/>
  <c r="O97"/>
  <c r="O107"/>
  <c r="P12"/>
  <c r="P30"/>
  <c r="P39"/>
  <c r="P40"/>
  <c r="P175" s="1"/>
  <c r="P49"/>
  <c r="P63"/>
  <c r="P73"/>
  <c r="P83"/>
  <c r="P92"/>
  <c r="P102"/>
  <c r="P114"/>
  <c r="Q20"/>
  <c r="Q30"/>
  <c r="Q67"/>
  <c r="Q79"/>
  <c r="Q89"/>
  <c r="Q101"/>
  <c r="Q114"/>
  <c r="R19"/>
  <c r="R29"/>
  <c r="R39"/>
  <c r="R66"/>
  <c r="R240" s="1"/>
  <c r="R80"/>
  <c r="R92"/>
  <c r="R106"/>
  <c r="S14"/>
  <c r="S27"/>
  <c r="S38"/>
  <c r="S69"/>
  <c r="S82"/>
  <c r="S94"/>
  <c r="S110"/>
  <c r="T22"/>
  <c r="T35"/>
  <c r="T71"/>
  <c r="T86"/>
  <c r="T106"/>
  <c r="U39"/>
  <c r="U83"/>
  <c r="U102"/>
  <c r="V17"/>
  <c r="V35"/>
  <c r="V56"/>
  <c r="V79"/>
  <c r="V98"/>
  <c r="V126" s="1"/>
  <c r="W14"/>
  <c r="W75"/>
  <c r="W94"/>
  <c r="X28"/>
  <c r="X47"/>
  <c r="X71"/>
  <c r="X90"/>
  <c r="X110"/>
  <c r="Y25"/>
  <c r="Y67"/>
  <c r="Y87"/>
  <c r="Y110"/>
  <c r="Z28"/>
  <c r="Z85"/>
  <c r="Z113"/>
  <c r="AA35"/>
  <c r="AA69"/>
  <c r="AA104"/>
  <c r="AB73"/>
  <c r="AB114"/>
  <c r="AC45"/>
  <c r="AC89"/>
  <c r="AC152" s="1"/>
  <c r="AD23"/>
  <c r="AD66"/>
  <c r="AD240"/>
  <c r="AD106"/>
  <c r="AE38"/>
  <c r="AE82"/>
  <c r="AF16"/>
  <c r="AF97"/>
  <c r="AG75"/>
  <c r="AG114"/>
  <c r="AH46"/>
  <c r="AH89"/>
  <c r="AI28"/>
  <c r="AI88"/>
  <c r="AJ36"/>
  <c r="AJ99"/>
  <c r="AK66"/>
  <c r="AK240" s="1"/>
  <c r="AL29"/>
  <c r="AL101"/>
  <c r="J107"/>
  <c r="K19"/>
  <c r="K235" s="1"/>
  <c r="K27"/>
  <c r="K35"/>
  <c r="K64"/>
  <c r="K73"/>
  <c r="K170" s="1"/>
  <c r="K82"/>
  <c r="K90"/>
  <c r="K108"/>
  <c r="L12"/>
  <c r="L20"/>
  <c r="L28"/>
  <c r="L36"/>
  <c r="L44"/>
  <c r="L66"/>
  <c r="L75"/>
  <c r="L83"/>
  <c r="L91"/>
  <c r="L100"/>
  <c r="L109"/>
  <c r="M13"/>
  <c r="M29"/>
  <c r="M37"/>
  <c r="M45"/>
  <c r="M67"/>
  <c r="M76"/>
  <c r="M144"/>
  <c r="M84"/>
  <c r="M92"/>
  <c r="M101"/>
  <c r="M110"/>
  <c r="N14"/>
  <c r="N22"/>
  <c r="N30"/>
  <c r="N38"/>
  <c r="N46"/>
  <c r="N56"/>
  <c r="N77"/>
  <c r="N85"/>
  <c r="N93"/>
  <c r="N102"/>
  <c r="N112"/>
  <c r="O15"/>
  <c r="O23"/>
  <c r="O39"/>
  <c r="O47"/>
  <c r="O69"/>
  <c r="O78"/>
  <c r="O86"/>
  <c r="O94"/>
  <c r="O104"/>
  <c r="O113"/>
  <c r="P16"/>
  <c r="P24"/>
  <c r="P70"/>
  <c r="P79"/>
  <c r="P87"/>
  <c r="P105"/>
  <c r="Q129"/>
  <c r="Q19"/>
  <c r="Q235"/>
  <c r="Q28"/>
  <c r="Q37"/>
  <c r="Q46"/>
  <c r="Q71"/>
  <c r="Q81"/>
  <c r="Q90"/>
  <c r="Q100"/>
  <c r="Q110"/>
  <c r="R15"/>
  <c r="R25"/>
  <c r="R34"/>
  <c r="R67"/>
  <c r="R77"/>
  <c r="R86"/>
  <c r="R97"/>
  <c r="R107"/>
  <c r="S12"/>
  <c r="S30"/>
  <c r="S39"/>
  <c r="S175"/>
  <c r="S63"/>
  <c r="S73"/>
  <c r="S83"/>
  <c r="S92"/>
  <c r="S153" s="1"/>
  <c r="S102"/>
  <c r="S113"/>
  <c r="T17"/>
  <c r="T134" s="1"/>
  <c r="T27"/>
  <c r="T36"/>
  <c r="T45"/>
  <c r="T56"/>
  <c r="T69"/>
  <c r="T79"/>
  <c r="T88"/>
  <c r="T99"/>
  <c r="T109"/>
  <c r="U14"/>
  <c r="U23"/>
  <c r="U66"/>
  <c r="U240"/>
  <c r="U76"/>
  <c r="U85"/>
  <c r="U94"/>
  <c r="U105"/>
  <c r="V129" s="1"/>
  <c r="V19"/>
  <c r="V235" s="1"/>
  <c r="V29"/>
  <c r="V38"/>
  <c r="V47"/>
  <c r="V71"/>
  <c r="V81"/>
  <c r="V90"/>
  <c r="V101"/>
  <c r="V112"/>
  <c r="W16"/>
  <c r="W25"/>
  <c r="W34"/>
  <c r="W78"/>
  <c r="W87"/>
  <c r="W97"/>
  <c r="W107"/>
  <c r="X12"/>
  <c r="X40"/>
  <c r="X49"/>
  <c r="X63"/>
  <c r="X73"/>
  <c r="X83"/>
  <c r="X92"/>
  <c r="X104"/>
  <c r="X114"/>
  <c r="Y18"/>
  <c r="Y27"/>
  <c r="Y36"/>
  <c r="Y45"/>
  <c r="Y56"/>
  <c r="Y70"/>
  <c r="Y80"/>
  <c r="Y90"/>
  <c r="Y101"/>
  <c r="Y114"/>
  <c r="Z20"/>
  <c r="Z30"/>
  <c r="Z44"/>
  <c r="Z76"/>
  <c r="Z89"/>
  <c r="Z102"/>
  <c r="AA13"/>
  <c r="AA24"/>
  <c r="AA38"/>
  <c r="AA76"/>
  <c r="AA92"/>
  <c r="AA110"/>
  <c r="AB22"/>
  <c r="AB38"/>
  <c r="AB81"/>
  <c r="AB100"/>
  <c r="AC16"/>
  <c r="AC34"/>
  <c r="AC77"/>
  <c r="AC97"/>
  <c r="AD12"/>
  <c r="AD30"/>
  <c r="AD49"/>
  <c r="AD73"/>
  <c r="AD92"/>
  <c r="AD113"/>
  <c r="AE27"/>
  <c r="AE45"/>
  <c r="AE69"/>
  <c r="AE89"/>
  <c r="AE109"/>
  <c r="AF23"/>
  <c r="AF66"/>
  <c r="AF240" s="1"/>
  <c r="AF85"/>
  <c r="AF105"/>
  <c r="AG129" s="1"/>
  <c r="AG20"/>
  <c r="AG38"/>
  <c r="AG81"/>
  <c r="AG101"/>
  <c r="AH16"/>
  <c r="AH34"/>
  <c r="AH78"/>
  <c r="AH97"/>
  <c r="AI12"/>
  <c r="AI39"/>
  <c r="AI71"/>
  <c r="AI98"/>
  <c r="AI126" s="1"/>
  <c r="AJ20"/>
  <c r="AJ45"/>
  <c r="AJ79"/>
  <c r="AJ110"/>
  <c r="AK38"/>
  <c r="AK77"/>
  <c r="AK112"/>
  <c r="AL39"/>
  <c r="AL78"/>
  <c r="AL113"/>
  <c r="S104"/>
  <c r="S114"/>
  <c r="T19"/>
  <c r="T235" s="1"/>
  <c r="T28"/>
  <c r="T37"/>
  <c r="T46"/>
  <c r="T70"/>
  <c r="T80"/>
  <c r="T90"/>
  <c r="T100"/>
  <c r="T110"/>
  <c r="U15"/>
  <c r="U24"/>
  <c r="U33"/>
  <c r="U42"/>
  <c r="U67"/>
  <c r="U77"/>
  <c r="U86"/>
  <c r="U106"/>
  <c r="V11"/>
  <c r="V30"/>
  <c r="V39"/>
  <c r="V72"/>
  <c r="V82"/>
  <c r="V92"/>
  <c r="V102"/>
  <c r="V113"/>
  <c r="W17"/>
  <c r="W134" s="1"/>
  <c r="W26"/>
  <c r="W182" s="1"/>
  <c r="W35"/>
  <c r="W44"/>
  <c r="W56"/>
  <c r="W69"/>
  <c r="W70"/>
  <c r="W79"/>
  <c r="W88"/>
  <c r="W98"/>
  <c r="W126" s="1"/>
  <c r="W108"/>
  <c r="X13"/>
  <c r="X23"/>
  <c r="X64"/>
  <c r="X75"/>
  <c r="X84"/>
  <c r="X94"/>
  <c r="X105"/>
  <c r="Y129" s="1"/>
  <c r="Y19"/>
  <c r="Y235" s="1"/>
  <c r="Y28"/>
  <c r="Y37"/>
  <c r="Y46"/>
  <c r="Y71"/>
  <c r="Y81"/>
  <c r="Y91"/>
  <c r="Y102"/>
  <c r="Z45"/>
  <c r="Z63"/>
  <c r="Z77"/>
  <c r="Z91"/>
  <c r="Z104"/>
  <c r="AA14"/>
  <c r="AA27"/>
  <c r="AA39"/>
  <c r="AA56"/>
  <c r="AA77"/>
  <c r="AA93"/>
  <c r="AA112"/>
  <c r="AB23"/>
  <c r="AB39"/>
  <c r="AB82"/>
  <c r="AB101"/>
  <c r="AC17"/>
  <c r="AC35"/>
  <c r="AC79"/>
  <c r="AC98"/>
  <c r="AC126" s="1"/>
  <c r="AD13"/>
  <c r="AD75"/>
  <c r="AD93"/>
  <c r="AE28"/>
  <c r="AE46"/>
  <c r="AE70"/>
  <c r="AE90"/>
  <c r="AE110"/>
  <c r="AF24"/>
  <c r="AF67"/>
  <c r="AF86"/>
  <c r="AF106"/>
  <c r="AG39"/>
  <c r="AG83"/>
  <c r="AG102"/>
  <c r="AH17"/>
  <c r="AH35"/>
  <c r="AH56"/>
  <c r="AH79"/>
  <c r="AH98"/>
  <c r="AH126" s="1"/>
  <c r="AI15"/>
  <c r="AI72"/>
  <c r="AI99"/>
  <c r="AJ81"/>
  <c r="AK11"/>
  <c r="AK82"/>
  <c r="AL12"/>
  <c r="AL44"/>
  <c r="AL83"/>
  <c r="T91"/>
  <c r="T101"/>
  <c r="T112"/>
  <c r="U16"/>
  <c r="U25"/>
  <c r="U34"/>
  <c r="U44"/>
  <c r="U78"/>
  <c r="U87"/>
  <c r="U97"/>
  <c r="U107"/>
  <c r="V13"/>
  <c r="V22"/>
  <c r="V40"/>
  <c r="V175" s="1"/>
  <c r="V49"/>
  <c r="V63"/>
  <c r="V73"/>
  <c r="V84"/>
  <c r="V93"/>
  <c r="V104"/>
  <c r="V114"/>
  <c r="W18"/>
  <c r="W27"/>
  <c r="W36"/>
  <c r="W46"/>
  <c r="W80"/>
  <c r="W89"/>
  <c r="W99"/>
  <c r="W156" s="1"/>
  <c r="W109"/>
  <c r="X15"/>
  <c r="X24"/>
  <c r="X33"/>
  <c r="X42"/>
  <c r="X66"/>
  <c r="X240" s="1"/>
  <c r="X76"/>
  <c r="X77"/>
  <c r="X144"/>
  <c r="X86"/>
  <c r="X106"/>
  <c r="Y11"/>
  <c r="Y20"/>
  <c r="Y29"/>
  <c r="Y38"/>
  <c r="Y72"/>
  <c r="Y82"/>
  <c r="Y92"/>
  <c r="Y105"/>
  <c r="Z129" s="1"/>
  <c r="Z12"/>
  <c r="Z22"/>
  <c r="Z34"/>
  <c r="Z46"/>
  <c r="Z66"/>
  <c r="Z240" s="1"/>
  <c r="Z78"/>
  <c r="Z92"/>
  <c r="Z107"/>
  <c r="AA15"/>
  <c r="AA29"/>
  <c r="AA40"/>
  <c r="AA78"/>
  <c r="AA94"/>
  <c r="AA113"/>
  <c r="AB24"/>
  <c r="AB40"/>
  <c r="AB63"/>
  <c r="AB83"/>
  <c r="AB104"/>
  <c r="AC18"/>
  <c r="AC36"/>
  <c r="AC56"/>
  <c r="AC80"/>
  <c r="AC146"/>
  <c r="AC99"/>
  <c r="AD14"/>
  <c r="AD33"/>
  <c r="AD76"/>
  <c r="AD94"/>
  <c r="AE11"/>
  <c r="AE29"/>
  <c r="AE47"/>
  <c r="AE72"/>
  <c r="AE91"/>
  <c r="AE112"/>
  <c r="AF25"/>
  <c r="AF44"/>
  <c r="AF87"/>
  <c r="AF108"/>
  <c r="AG22"/>
  <c r="AG11"/>
  <c r="AG51"/>
  <c r="AG40"/>
  <c r="AG63"/>
  <c r="AG84"/>
  <c r="AG104"/>
  <c r="AH18"/>
  <c r="AH37"/>
  <c r="AH80"/>
  <c r="AH99"/>
  <c r="AI17"/>
  <c r="AI42"/>
  <c r="AI73"/>
  <c r="AI100"/>
  <c r="AJ24"/>
  <c r="AJ82"/>
  <c r="AK12"/>
  <c r="AK44"/>
  <c r="AK83"/>
  <c r="AL13"/>
  <c r="AL45"/>
  <c r="AL84"/>
  <c r="R71"/>
  <c r="R81"/>
  <c r="R90"/>
  <c r="R100"/>
  <c r="R110"/>
  <c r="S15"/>
  <c r="S24"/>
  <c r="S34"/>
  <c r="S67"/>
  <c r="S77"/>
  <c r="S86"/>
  <c r="S107"/>
  <c r="T12"/>
  <c r="T30"/>
  <c r="T39"/>
  <c r="T73"/>
  <c r="T83"/>
  <c r="T92"/>
  <c r="T102"/>
  <c r="T113"/>
  <c r="U17"/>
  <c r="U26"/>
  <c r="U182" s="1"/>
  <c r="U36"/>
  <c r="U45"/>
  <c r="U56"/>
  <c r="U69"/>
  <c r="U79"/>
  <c r="U88"/>
  <c r="U98"/>
  <c r="U126" s="1"/>
  <c r="U109"/>
  <c r="V14"/>
  <c r="V23"/>
  <c r="V64"/>
  <c r="V76"/>
  <c r="V85"/>
  <c r="V94"/>
  <c r="V105"/>
  <c r="W129"/>
  <c r="W19"/>
  <c r="W235"/>
  <c r="W28"/>
  <c r="W38"/>
  <c r="W47"/>
  <c r="W71"/>
  <c r="W81"/>
  <c r="W90"/>
  <c r="W100"/>
  <c r="W112"/>
  <c r="X16"/>
  <c r="X25"/>
  <c r="X34"/>
  <c r="X67"/>
  <c r="X78"/>
  <c r="X87"/>
  <c r="X97"/>
  <c r="X107"/>
  <c r="Y12"/>
  <c r="Y30"/>
  <c r="Y40"/>
  <c r="Y49"/>
  <c r="Y63"/>
  <c r="Y73"/>
  <c r="Y83"/>
  <c r="Y93"/>
  <c r="Y94"/>
  <c r="Y154"/>
  <c r="Y106"/>
  <c r="Z13"/>
  <c r="Z23"/>
  <c r="Z36"/>
  <c r="Z47"/>
  <c r="Z67"/>
  <c r="Z81"/>
  <c r="Z93"/>
  <c r="Z109"/>
  <c r="AA16"/>
  <c r="AA30"/>
  <c r="AA79"/>
  <c r="AA114"/>
  <c r="AB25"/>
  <c r="AB64"/>
  <c r="AB84"/>
  <c r="AB105"/>
  <c r="AC129"/>
  <c r="AC19"/>
  <c r="AC235"/>
  <c r="AC37"/>
  <c r="AC81"/>
  <c r="AC100"/>
  <c r="AD15"/>
  <c r="AD34"/>
  <c r="AD77"/>
  <c r="AD97"/>
  <c r="AE12"/>
  <c r="AE30"/>
  <c r="AE73"/>
  <c r="AE92"/>
  <c r="AE113"/>
  <c r="AF27"/>
  <c r="AF45"/>
  <c r="AF69"/>
  <c r="AF88"/>
  <c r="AF109"/>
  <c r="AG23"/>
  <c r="AG66"/>
  <c r="AG240"/>
  <c r="AG85"/>
  <c r="AG105"/>
  <c r="AH129" s="1"/>
  <c r="AH19"/>
  <c r="AH235" s="1"/>
  <c r="AH38"/>
  <c r="AH81"/>
  <c r="AH101"/>
  <c r="AI18"/>
  <c r="AI75"/>
  <c r="AI104"/>
  <c r="AJ26"/>
  <c r="AJ83"/>
  <c r="AK13"/>
  <c r="AK45"/>
  <c r="AK84"/>
  <c r="AL14"/>
  <c r="AL46"/>
  <c r="AL85"/>
  <c r="P112"/>
  <c r="Q15"/>
  <c r="Q23"/>
  <c r="Q39"/>
  <c r="Q47"/>
  <c r="Q69"/>
  <c r="Q68"/>
  <c r="Q78"/>
  <c r="Q86"/>
  <c r="Q94"/>
  <c r="Q104"/>
  <c r="Q113"/>
  <c r="R16"/>
  <c r="R24"/>
  <c r="R40"/>
  <c r="R70"/>
  <c r="R79"/>
  <c r="R146" s="1"/>
  <c r="R87"/>
  <c r="R151" s="1"/>
  <c r="R105"/>
  <c r="S129" s="1"/>
  <c r="R114"/>
  <c r="S17"/>
  <c r="S25"/>
  <c r="S33"/>
  <c r="S172" s="1"/>
  <c r="S49"/>
  <c r="S71"/>
  <c r="S80"/>
  <c r="S88"/>
  <c r="S97"/>
  <c r="S106"/>
  <c r="T18"/>
  <c r="T26"/>
  <c r="T34"/>
  <c r="T42"/>
  <c r="T63"/>
  <c r="T72"/>
  <c r="T81"/>
  <c r="T89"/>
  <c r="T98"/>
  <c r="T126" s="1"/>
  <c r="T107"/>
  <c r="U11"/>
  <c r="U19"/>
  <c r="U235" s="1"/>
  <c r="U27"/>
  <c r="U35"/>
  <c r="U64"/>
  <c r="U73"/>
  <c r="U82"/>
  <c r="U90"/>
  <c r="U99"/>
  <c r="U108"/>
  <c r="V12"/>
  <c r="V20"/>
  <c r="V28"/>
  <c r="V162" s="1"/>
  <c r="V36"/>
  <c r="V44"/>
  <c r="V66"/>
  <c r="V240" s="1"/>
  <c r="V75"/>
  <c r="V83"/>
  <c r="V91"/>
  <c r="V100"/>
  <c r="V109"/>
  <c r="W13"/>
  <c r="W29"/>
  <c r="W37"/>
  <c r="W174" s="1"/>
  <c r="W45"/>
  <c r="W67"/>
  <c r="W76"/>
  <c r="W144" s="1"/>
  <c r="W84"/>
  <c r="W92"/>
  <c r="W101"/>
  <c r="W110"/>
  <c r="X14"/>
  <c r="X22"/>
  <c r="X30"/>
  <c r="X38"/>
  <c r="X46"/>
  <c r="X56"/>
  <c r="X85"/>
  <c r="X93"/>
  <c r="X102"/>
  <c r="X112"/>
  <c r="X158" s="1"/>
  <c r="Y15"/>
  <c r="Y23"/>
  <c r="Y39"/>
  <c r="Y47"/>
  <c r="Y69"/>
  <c r="Y78"/>
  <c r="Y86"/>
  <c r="Y104"/>
  <c r="Y113"/>
  <c r="Z16"/>
  <c r="Z24"/>
  <c r="Z40"/>
  <c r="Z70"/>
  <c r="Z79"/>
  <c r="Z87"/>
  <c r="Z105"/>
  <c r="AA129" s="1"/>
  <c r="Z114"/>
  <c r="AA17"/>
  <c r="AA25"/>
  <c r="AA33"/>
  <c r="AA49"/>
  <c r="AA71"/>
  <c r="AA80"/>
  <c r="AA88"/>
  <c r="AA97"/>
  <c r="AA106"/>
  <c r="AB18"/>
  <c r="AB26"/>
  <c r="AB34"/>
  <c r="AB42"/>
  <c r="AB66"/>
  <c r="AB240" s="1"/>
  <c r="AB76"/>
  <c r="AB86"/>
  <c r="AB106"/>
  <c r="AC11"/>
  <c r="AC10" s="1"/>
  <c r="AC20"/>
  <c r="AC138" s="1"/>
  <c r="AC29"/>
  <c r="AC38"/>
  <c r="AC72"/>
  <c r="AC82"/>
  <c r="AC91"/>
  <c r="AC101"/>
  <c r="AC112"/>
  <c r="AD17"/>
  <c r="AD26"/>
  <c r="AD35"/>
  <c r="AD44"/>
  <c r="AD78"/>
  <c r="AD88"/>
  <c r="AD98"/>
  <c r="AD126" s="1"/>
  <c r="AD108"/>
  <c r="AE13"/>
  <c r="AE22"/>
  <c r="AE166" s="1"/>
  <c r="AE40"/>
  <c r="AE64"/>
  <c r="AE75"/>
  <c r="AE84"/>
  <c r="AE86"/>
  <c r="AE93"/>
  <c r="AE104"/>
  <c r="AE114"/>
  <c r="AF19"/>
  <c r="AF235"/>
  <c r="AF28"/>
  <c r="AF37"/>
  <c r="AF38"/>
  <c r="AF174"/>
  <c r="AF46"/>
  <c r="AF70"/>
  <c r="AF80"/>
  <c r="AF90"/>
  <c r="AF100"/>
  <c r="AF110"/>
  <c r="AG15"/>
  <c r="AG24"/>
  <c r="AG159" s="1"/>
  <c r="AG33"/>
  <c r="AG42"/>
  <c r="AG64"/>
  <c r="AG67"/>
  <c r="AG77"/>
  <c r="AG86"/>
  <c r="AG106"/>
  <c r="AH11"/>
  <c r="AH30"/>
  <c r="AH39"/>
  <c r="AH72"/>
  <c r="AH82"/>
  <c r="AH92"/>
  <c r="AH102"/>
  <c r="AH113"/>
  <c r="AI19"/>
  <c r="AI235" s="1"/>
  <c r="AI33"/>
  <c r="AI44"/>
  <c r="AI63"/>
  <c r="AI78"/>
  <c r="AI90"/>
  <c r="AI106"/>
  <c r="AJ13"/>
  <c r="AJ27"/>
  <c r="AJ40"/>
  <c r="AJ72"/>
  <c r="AJ84"/>
  <c r="AJ101"/>
  <c r="AK14"/>
  <c r="AK30"/>
  <c r="AK46"/>
  <c r="AK85"/>
  <c r="AK102"/>
  <c r="AL15"/>
  <c r="AL47"/>
  <c r="AL69"/>
  <c r="AL86"/>
  <c r="AL104"/>
  <c r="Z33"/>
  <c r="Z49"/>
  <c r="Z71"/>
  <c r="Z80"/>
  <c r="Z88"/>
  <c r="Z97"/>
  <c r="Z106"/>
  <c r="AA18"/>
  <c r="AA26"/>
  <c r="AA34"/>
  <c r="AA42"/>
  <c r="AA63"/>
  <c r="AA72"/>
  <c r="AA81"/>
  <c r="AA89"/>
  <c r="AA98"/>
  <c r="AA126" s="1"/>
  <c r="AA107"/>
  <c r="AB11"/>
  <c r="AB35"/>
  <c r="AB19"/>
  <c r="AB235"/>
  <c r="AB27"/>
  <c r="AB67"/>
  <c r="AB78"/>
  <c r="AB87"/>
  <c r="AB97"/>
  <c r="AB107"/>
  <c r="AC12"/>
  <c r="AC30"/>
  <c r="AC40"/>
  <c r="AC49"/>
  <c r="AC63"/>
  <c r="AC73"/>
  <c r="AC83"/>
  <c r="AC92"/>
  <c r="AC102"/>
  <c r="AC114"/>
  <c r="AD18"/>
  <c r="AD27"/>
  <c r="AD36"/>
  <c r="AD45"/>
  <c r="AD56"/>
  <c r="AD69"/>
  <c r="AD80"/>
  <c r="AD89"/>
  <c r="AD99"/>
  <c r="AD109"/>
  <c r="AE14"/>
  <c r="AE23"/>
  <c r="AE42"/>
  <c r="AE66"/>
  <c r="AE240" s="1"/>
  <c r="AE76"/>
  <c r="AE85"/>
  <c r="AE94"/>
  <c r="AE105"/>
  <c r="AF11"/>
  <c r="AF20"/>
  <c r="AF29"/>
  <c r="AF47"/>
  <c r="AF71"/>
  <c r="AF82"/>
  <c r="AF91"/>
  <c r="AF101"/>
  <c r="AF112"/>
  <c r="AG16"/>
  <c r="AG25"/>
  <c r="AG34"/>
  <c r="AG44"/>
  <c r="AG78"/>
  <c r="AG87"/>
  <c r="AG97"/>
  <c r="AG107"/>
  <c r="AH13"/>
  <c r="AH22"/>
  <c r="AH40"/>
  <c r="AH49"/>
  <c r="AH63"/>
  <c r="AH142" s="1"/>
  <c r="AH73"/>
  <c r="AH84"/>
  <c r="AH93"/>
  <c r="AH104"/>
  <c r="AH114"/>
  <c r="AI20"/>
  <c r="AI34"/>
  <c r="AI47"/>
  <c r="AI64"/>
  <c r="AI80"/>
  <c r="AI91"/>
  <c r="AI107"/>
  <c r="AJ16"/>
  <c r="AJ28"/>
  <c r="AJ42"/>
  <c r="AJ73"/>
  <c r="AJ89"/>
  <c r="AJ107"/>
  <c r="AK19"/>
  <c r="AK235" s="1"/>
  <c r="AK35"/>
  <c r="AK73"/>
  <c r="AK90"/>
  <c r="AK108"/>
  <c r="AL20"/>
  <c r="AL36"/>
  <c r="AL75"/>
  <c r="AL91"/>
  <c r="AL109"/>
  <c r="AA64"/>
  <c r="AA73"/>
  <c r="AA170" s="1"/>
  <c r="AA82"/>
  <c r="AA90"/>
  <c r="AA99"/>
  <c r="AA156" s="1"/>
  <c r="AA108"/>
  <c r="AB12"/>
  <c r="AB20"/>
  <c r="AB28"/>
  <c r="AB36"/>
  <c r="AB44"/>
  <c r="AB69"/>
  <c r="AB79"/>
  <c r="AB88"/>
  <c r="AB98"/>
  <c r="AB126" s="1"/>
  <c r="AB108"/>
  <c r="AC13"/>
  <c r="AC22"/>
  <c r="AC64"/>
  <c r="AC75"/>
  <c r="AC84"/>
  <c r="AC93"/>
  <c r="AC105"/>
  <c r="AD129"/>
  <c r="AD19"/>
  <c r="AD235"/>
  <c r="AD28"/>
  <c r="AD37"/>
  <c r="AD46"/>
  <c r="AD71"/>
  <c r="AD81"/>
  <c r="AD90"/>
  <c r="AD100"/>
  <c r="AD110"/>
  <c r="AE15"/>
  <c r="AE24"/>
  <c r="AE34"/>
  <c r="AE67"/>
  <c r="AE77"/>
  <c r="AE107"/>
  <c r="AF12"/>
  <c r="AF30"/>
  <c r="AF84"/>
  <c r="AF171"/>
  <c r="AF39"/>
  <c r="AF73"/>
  <c r="AF83"/>
  <c r="AF92"/>
  <c r="AF102"/>
  <c r="AF113"/>
  <c r="AG17"/>
  <c r="AG26"/>
  <c r="AG36"/>
  <c r="AG45"/>
  <c r="AG56"/>
  <c r="AG69"/>
  <c r="AG79"/>
  <c r="AG88"/>
  <c r="AG98"/>
  <c r="AG126" s="1"/>
  <c r="AG109"/>
  <c r="AH14"/>
  <c r="AH23"/>
  <c r="AH64"/>
  <c r="AH76"/>
  <c r="AH85"/>
  <c r="AH94"/>
  <c r="AH154" s="1"/>
  <c r="AH105"/>
  <c r="AI129" s="1"/>
  <c r="AI23"/>
  <c r="AI35"/>
  <c r="AI49"/>
  <c r="AI66"/>
  <c r="AI240"/>
  <c r="AI81"/>
  <c r="AI94"/>
  <c r="AI108"/>
  <c r="AJ18"/>
  <c r="AJ10" s="1"/>
  <c r="AJ29"/>
  <c r="AJ75"/>
  <c r="AJ90"/>
  <c r="AJ108"/>
  <c r="AK20"/>
  <c r="AK36"/>
  <c r="AK75"/>
  <c r="AK91"/>
  <c r="AK109"/>
  <c r="AL37"/>
  <c r="AL76"/>
  <c r="AL92"/>
  <c r="AL110"/>
  <c r="Y89"/>
  <c r="Y98"/>
  <c r="Y126" s="1"/>
  <c r="Y107"/>
  <c r="Z11"/>
  <c r="Z19"/>
  <c r="Z235" s="1"/>
  <c r="Z27"/>
  <c r="Z35"/>
  <c r="Z64"/>
  <c r="Z73"/>
  <c r="Z82"/>
  <c r="Z90"/>
  <c r="Z99"/>
  <c r="Z108"/>
  <c r="AA12"/>
  <c r="AA20"/>
  <c r="AA28"/>
  <c r="AA36"/>
  <c r="AA44"/>
  <c r="AA66"/>
  <c r="AA240" s="1"/>
  <c r="AA75"/>
  <c r="AA83"/>
  <c r="AA91"/>
  <c r="AA100"/>
  <c r="AA109"/>
  <c r="AB13"/>
  <c r="AB29"/>
  <c r="AB37"/>
  <c r="AB45"/>
  <c r="AB70"/>
  <c r="AB80"/>
  <c r="AB89"/>
  <c r="AB152" s="1"/>
  <c r="AB99"/>
  <c r="AB109"/>
  <c r="AC14"/>
  <c r="AC24"/>
  <c r="AC33"/>
  <c r="AC42"/>
  <c r="AC66"/>
  <c r="AC240" s="1"/>
  <c r="AC76"/>
  <c r="AC85"/>
  <c r="AC106"/>
  <c r="AD11"/>
  <c r="AD20"/>
  <c r="AD29"/>
  <c r="AD38"/>
  <c r="AD47"/>
  <c r="AD72"/>
  <c r="AD82"/>
  <c r="AD147" s="1"/>
  <c r="AD91"/>
  <c r="AD101"/>
  <c r="AD112"/>
  <c r="AE16"/>
  <c r="AE26"/>
  <c r="AE35"/>
  <c r="AE44"/>
  <c r="AE78"/>
  <c r="AE145" s="1"/>
  <c r="AE87"/>
  <c r="AE98"/>
  <c r="AE126"/>
  <c r="AE108"/>
  <c r="AF13"/>
  <c r="AF22"/>
  <c r="AF21"/>
  <c r="AF40"/>
  <c r="AF49"/>
  <c r="AF64"/>
  <c r="AF93"/>
  <c r="AF104"/>
  <c r="AF114"/>
  <c r="AG18"/>
  <c r="AG28"/>
  <c r="AG37"/>
  <c r="AG46"/>
  <c r="AG70"/>
  <c r="AG80"/>
  <c r="AG89"/>
  <c r="AG100"/>
  <c r="AG110"/>
  <c r="AH15"/>
  <c r="AH24"/>
  <c r="AH33"/>
  <c r="AH42"/>
  <c r="AH67"/>
  <c r="AH77"/>
  <c r="AH86"/>
  <c r="AH106"/>
  <c r="AI11"/>
  <c r="AI25"/>
  <c r="AI36"/>
  <c r="AI69"/>
  <c r="AI82"/>
  <c r="AI97"/>
  <c r="AI109"/>
  <c r="AJ19"/>
  <c r="AJ235"/>
  <c r="AJ44"/>
  <c r="AJ63"/>
  <c r="AJ76"/>
  <c r="AJ91"/>
  <c r="AJ109"/>
  <c r="AK37"/>
  <c r="AK76"/>
  <c r="AK92"/>
  <c r="AK110"/>
  <c r="AL22"/>
  <c r="AL38"/>
  <c r="AL56"/>
  <c r="AL77"/>
  <c r="AL93"/>
  <c r="AL112"/>
  <c r="AB46"/>
  <c r="AB56"/>
  <c r="AB77"/>
  <c r="AB85"/>
  <c r="AB93"/>
  <c r="AB154" s="1"/>
  <c r="AB102"/>
  <c r="AB112"/>
  <c r="AC15"/>
  <c r="AC23"/>
  <c r="AC39"/>
  <c r="AC47"/>
  <c r="AC69"/>
  <c r="AC78"/>
  <c r="AC145" s="1"/>
  <c r="AC86"/>
  <c r="AC94"/>
  <c r="AC104"/>
  <c r="AC113"/>
  <c r="AD16"/>
  <c r="AD24"/>
  <c r="AD40"/>
  <c r="AD175" s="1"/>
  <c r="AD70"/>
  <c r="AD79"/>
  <c r="AD87"/>
  <c r="AD105"/>
  <c r="AE129" s="1"/>
  <c r="AD114"/>
  <c r="AE17"/>
  <c r="AE25"/>
  <c r="AE33"/>
  <c r="AE49"/>
  <c r="AE71"/>
  <c r="AE80"/>
  <c r="AE88"/>
  <c r="AE97"/>
  <c r="AE106"/>
  <c r="AF18"/>
  <c r="AF26"/>
  <c r="AF34"/>
  <c r="AF42"/>
  <c r="AF63"/>
  <c r="AF72"/>
  <c r="AF81"/>
  <c r="AF89"/>
  <c r="AF152"/>
  <c r="AF98"/>
  <c r="AF126"/>
  <c r="AF107"/>
  <c r="AG19"/>
  <c r="AG235" s="1"/>
  <c r="AG27"/>
  <c r="AG35"/>
  <c r="AG73"/>
  <c r="AG82"/>
  <c r="AG90"/>
  <c r="AG99"/>
  <c r="AG108"/>
  <c r="AH12"/>
  <c r="AH20"/>
  <c r="AH28"/>
  <c r="AH36"/>
  <c r="AH44"/>
  <c r="AH66"/>
  <c r="AH240" s="1"/>
  <c r="AH75"/>
  <c r="AH83"/>
  <c r="AH91"/>
  <c r="AH153" s="1"/>
  <c r="AH100"/>
  <c r="AH109"/>
  <c r="AI13"/>
  <c r="AI29"/>
  <c r="AI37"/>
  <c r="AI45"/>
  <c r="AI67"/>
  <c r="AI76"/>
  <c r="AI84"/>
  <c r="AI92"/>
  <c r="AI101"/>
  <c r="AI110"/>
  <c r="AJ14"/>
  <c r="AJ22"/>
  <c r="AJ30"/>
  <c r="AJ38"/>
  <c r="AJ46"/>
  <c r="AJ56"/>
  <c r="AJ77"/>
  <c r="AJ85"/>
  <c r="AJ93"/>
  <c r="AJ102"/>
  <c r="AJ112"/>
  <c r="AK15"/>
  <c r="AK23"/>
  <c r="AK39"/>
  <c r="AK47"/>
  <c r="AK42"/>
  <c r="AK41" s="1"/>
  <c r="AK127" s="1"/>
  <c r="AK69"/>
  <c r="AK78"/>
  <c r="AK86"/>
  <c r="AK94"/>
  <c r="AK104"/>
  <c r="AK113"/>
  <c r="AL16"/>
  <c r="AL24"/>
  <c r="AL40"/>
  <c r="AL70"/>
  <c r="AL79"/>
  <c r="AL87"/>
  <c r="AL105"/>
  <c r="AL114"/>
  <c r="AI14"/>
  <c r="AI133" s="1"/>
  <c r="AI22"/>
  <c r="AI30"/>
  <c r="AI38"/>
  <c r="AI46"/>
  <c r="AI56"/>
  <c r="AI77"/>
  <c r="AI85"/>
  <c r="AI93"/>
  <c r="AI154" s="1"/>
  <c r="AI102"/>
  <c r="AI112"/>
  <c r="AJ15"/>
  <c r="AJ23"/>
  <c r="AJ39"/>
  <c r="AJ47"/>
  <c r="AJ69"/>
  <c r="AJ78"/>
  <c r="AJ86"/>
  <c r="AJ150" s="1"/>
  <c r="AJ94"/>
  <c r="AJ104"/>
  <c r="AJ113"/>
  <c r="AK16"/>
  <c r="AK24"/>
  <c r="AK40"/>
  <c r="AK70"/>
  <c r="AK79"/>
  <c r="AK87"/>
  <c r="AK105"/>
  <c r="AL129" s="1"/>
  <c r="AK114"/>
  <c r="AL17"/>
  <c r="AL25"/>
  <c r="AL33"/>
  <c r="AL49"/>
  <c r="AL71"/>
  <c r="AL80"/>
  <c r="AL88"/>
  <c r="AL97"/>
  <c r="AL106"/>
  <c r="AJ87"/>
  <c r="AJ105"/>
  <c r="AK129" s="1"/>
  <c r="AJ114"/>
  <c r="AK17"/>
  <c r="AK25"/>
  <c r="AK33"/>
  <c r="AK49"/>
  <c r="AK71"/>
  <c r="AK80"/>
  <c r="AK88"/>
  <c r="AK97"/>
  <c r="AK106"/>
  <c r="AL18"/>
  <c r="AL26"/>
  <c r="AL34"/>
  <c r="AL42"/>
  <c r="AL63"/>
  <c r="AL72"/>
  <c r="AL81"/>
  <c r="AL89"/>
  <c r="AL98"/>
  <c r="AL126" s="1"/>
  <c r="AL107"/>
  <c r="AI16"/>
  <c r="AI24"/>
  <c r="AI40"/>
  <c r="AI70"/>
  <c r="AI79"/>
  <c r="AI87"/>
  <c r="AI151" s="1"/>
  <c r="AI105"/>
  <c r="AJ129" s="1"/>
  <c r="AI114"/>
  <c r="AJ17"/>
  <c r="AJ25"/>
  <c r="AJ33"/>
  <c r="AJ49"/>
  <c r="AJ71"/>
  <c r="AJ80"/>
  <c r="AJ88"/>
  <c r="AJ97"/>
  <c r="AJ106"/>
  <c r="AK18"/>
  <c r="AK26"/>
  <c r="AK34"/>
  <c r="AK63"/>
  <c r="AK142" s="1"/>
  <c r="AK72"/>
  <c r="AK81"/>
  <c r="AK89"/>
  <c r="AK98"/>
  <c r="AK126" s="1"/>
  <c r="AK107"/>
  <c r="AL11"/>
  <c r="AL19"/>
  <c r="AL235" s="1"/>
  <c r="AL27"/>
  <c r="AL35"/>
  <c r="AL173" s="1"/>
  <c r="AL64"/>
  <c r="AL73"/>
  <c r="AL82"/>
  <c r="AL90"/>
  <c r="AL99"/>
  <c r="AL108"/>
  <c r="P144"/>
  <c r="AF129"/>
  <c r="J166"/>
  <c r="J238"/>
  <c r="AC139"/>
  <c r="AC137"/>
  <c r="AE239"/>
  <c r="AH185"/>
  <c r="L240"/>
  <c r="K167"/>
  <c r="J158" i="12"/>
  <c r="L196"/>
  <c r="L232"/>
  <c r="K232"/>
  <c r="L206"/>
  <c r="K233"/>
  <c r="L207"/>
  <c r="L231"/>
  <c r="K231"/>
  <c r="L205" s="1"/>
  <c r="L236"/>
  <c r="K236"/>
  <c r="L210"/>
  <c r="L230"/>
  <c r="K230"/>
  <c r="L204" s="1"/>
  <c r="L198"/>
  <c r="L238"/>
  <c r="K238"/>
  <c r="L212" s="1"/>
  <c r="L237"/>
  <c r="K237"/>
  <c r="L211" s="1"/>
  <c r="L127"/>
  <c r="K235"/>
  <c r="L209"/>
  <c r="L197"/>
  <c r="L240"/>
  <c r="K240"/>
  <c r="L214"/>
  <c r="L187"/>
  <c r="L199"/>
  <c r="L239"/>
  <c r="K239"/>
  <c r="L213" s="1"/>
  <c r="K234"/>
  <c r="L208" s="1"/>
  <c r="L241"/>
  <c r="K241"/>
  <c r="L215"/>
  <c r="G238"/>
  <c r="G186"/>
  <c r="G241"/>
  <c r="G239"/>
  <c r="J146"/>
  <c r="J156"/>
  <c r="K133"/>
  <c r="K142"/>
  <c r="K141"/>
  <c r="J139"/>
  <c r="J233"/>
  <c r="J138"/>
  <c r="J234"/>
  <c r="J137"/>
  <c r="K153"/>
  <c r="K157"/>
  <c r="J173"/>
  <c r="L185"/>
  <c r="L125"/>
  <c r="L135"/>
  <c r="L136"/>
  <c r="E230"/>
  <c r="E187"/>
  <c r="E231"/>
  <c r="J62"/>
  <c r="J61"/>
  <c r="I133"/>
  <c r="K181"/>
  <c r="L62"/>
  <c r="L61"/>
  <c r="I235"/>
  <c r="J145"/>
  <c r="I241"/>
  <c r="I164"/>
  <c r="I186"/>
  <c r="I167"/>
  <c r="I165"/>
  <c r="I239"/>
  <c r="I163"/>
  <c r="I166"/>
  <c r="I238"/>
  <c r="I142"/>
  <c r="I141"/>
  <c r="F234"/>
  <c r="F233"/>
  <c r="I143"/>
  <c r="J237"/>
  <c r="I237"/>
  <c r="J211"/>
  <c r="J230"/>
  <c r="I230"/>
  <c r="J204" s="1"/>
  <c r="J199"/>
  <c r="J127"/>
  <c r="J187"/>
  <c r="J231"/>
  <c r="I231"/>
  <c r="J205" s="1"/>
  <c r="J198"/>
  <c r="J236"/>
  <c r="I236"/>
  <c r="J210" s="1"/>
  <c r="J235"/>
  <c r="J209" s="1"/>
  <c r="J239"/>
  <c r="J213" s="1"/>
  <c r="J232"/>
  <c r="I232"/>
  <c r="J206"/>
  <c r="J197"/>
  <c r="J238"/>
  <c r="J212"/>
  <c r="I233"/>
  <c r="J207"/>
  <c r="J196"/>
  <c r="J241"/>
  <c r="J215" s="1"/>
  <c r="I234"/>
  <c r="J208" s="1"/>
  <c r="J240"/>
  <c r="I240"/>
  <c r="J214"/>
  <c r="L162"/>
  <c r="H236"/>
  <c r="H237"/>
  <c r="I129"/>
  <c r="I147"/>
  <c r="I148"/>
  <c r="K151"/>
  <c r="H186"/>
  <c r="H241"/>
  <c r="H238"/>
  <c r="H239"/>
  <c r="I175"/>
  <c r="J134"/>
  <c r="K174"/>
  <c r="K152"/>
  <c r="L174"/>
  <c r="E185"/>
  <c r="E232"/>
  <c r="I159"/>
  <c r="I160"/>
  <c r="J129"/>
  <c r="J174"/>
  <c r="J147"/>
  <c r="J148"/>
  <c r="K137"/>
  <c r="K138"/>
  <c r="K139"/>
  <c r="K175"/>
  <c r="K154"/>
  <c r="L175"/>
  <c r="I128"/>
  <c r="I188"/>
  <c r="I199"/>
  <c r="H232"/>
  <c r="I206" s="1"/>
  <c r="I196"/>
  <c r="I210"/>
  <c r="I187"/>
  <c r="I215"/>
  <c r="I213"/>
  <c r="H234"/>
  <c r="I208"/>
  <c r="I198"/>
  <c r="H240"/>
  <c r="I214" s="1"/>
  <c r="H235"/>
  <c r="I209" s="1"/>
  <c r="H230"/>
  <c r="I204" s="1"/>
  <c r="I127"/>
  <c r="I58"/>
  <c r="H231"/>
  <c r="I205" s="1"/>
  <c r="I197"/>
  <c r="H233"/>
  <c r="I207"/>
  <c r="I212"/>
  <c r="I211"/>
  <c r="I158"/>
  <c r="J151"/>
  <c r="K144"/>
  <c r="L167"/>
  <c r="L163"/>
  <c r="L164"/>
  <c r="L166"/>
  <c r="L186"/>
  <c r="L165"/>
  <c r="L179"/>
  <c r="L180"/>
  <c r="L150"/>
  <c r="L149"/>
  <c r="E233"/>
  <c r="E234"/>
  <c r="I130"/>
  <c r="I189"/>
  <c r="I125"/>
  <c r="I136"/>
  <c r="I185"/>
  <c r="I135"/>
  <c r="I171"/>
  <c r="I170"/>
  <c r="I169"/>
  <c r="I168"/>
  <c r="J188"/>
  <c r="I179"/>
  <c r="J128"/>
  <c r="I180"/>
  <c r="I153"/>
  <c r="J161"/>
  <c r="J182"/>
  <c r="L181"/>
  <c r="L151"/>
  <c r="E235"/>
  <c r="I140"/>
  <c r="I132"/>
  <c r="I131"/>
  <c r="I181"/>
  <c r="I154"/>
  <c r="J162"/>
  <c r="J152"/>
  <c r="L128"/>
  <c r="K180"/>
  <c r="K179"/>
  <c r="L188"/>
  <c r="K145"/>
  <c r="L129"/>
  <c r="L152"/>
  <c r="E237"/>
  <c r="E236"/>
  <c r="F188"/>
  <c r="E240"/>
  <c r="F187"/>
  <c r="F231"/>
  <c r="F205"/>
  <c r="F207"/>
  <c r="F237"/>
  <c r="F211"/>
  <c r="F236"/>
  <c r="F210"/>
  <c r="F230"/>
  <c r="F240"/>
  <c r="F214" s="1"/>
  <c r="F235"/>
  <c r="F209" s="1"/>
  <c r="F204"/>
  <c r="F208"/>
  <c r="F241"/>
  <c r="E241"/>
  <c r="F215"/>
  <c r="F238"/>
  <c r="E238"/>
  <c r="F212" s="1"/>
  <c r="F239"/>
  <c r="E239"/>
  <c r="F213"/>
  <c r="F232"/>
  <c r="F206"/>
  <c r="G234"/>
  <c r="G233"/>
  <c r="I172"/>
  <c r="I178"/>
  <c r="I177"/>
  <c r="I176"/>
  <c r="I155"/>
  <c r="J189"/>
  <c r="J130"/>
  <c r="I157"/>
  <c r="J136"/>
  <c r="J125"/>
  <c r="J135"/>
  <c r="J185"/>
  <c r="J175"/>
  <c r="K128"/>
  <c r="J179"/>
  <c r="K188"/>
  <c r="J180"/>
  <c r="J153"/>
  <c r="K169"/>
  <c r="K171"/>
  <c r="K170"/>
  <c r="K168"/>
  <c r="K148"/>
  <c r="K147"/>
  <c r="L145"/>
  <c r="E186"/>
  <c r="F189"/>
  <c r="F185"/>
  <c r="H188"/>
  <c r="G207"/>
  <c r="G237"/>
  <c r="G211"/>
  <c r="G231"/>
  <c r="G235"/>
  <c r="G209" s="1"/>
  <c r="G240"/>
  <c r="G214" s="1"/>
  <c r="G213"/>
  <c r="G208"/>
  <c r="G232"/>
  <c r="G206" s="1"/>
  <c r="G236"/>
  <c r="G210" s="1"/>
  <c r="G230"/>
  <c r="G204" s="1"/>
  <c r="G205"/>
  <c r="G212"/>
  <c r="G215"/>
  <c r="G187"/>
  <c r="I145"/>
  <c r="I151"/>
  <c r="J140"/>
  <c r="J132"/>
  <c r="J131"/>
  <c r="J181"/>
  <c r="J141"/>
  <c r="J142"/>
  <c r="K213"/>
  <c r="K207"/>
  <c r="K215"/>
  <c r="K212"/>
  <c r="K214"/>
  <c r="K205"/>
  <c r="K199"/>
  <c r="K197"/>
  <c r="K211"/>
  <c r="K209"/>
  <c r="K127"/>
  <c r="K196"/>
  <c r="K208"/>
  <c r="K204"/>
  <c r="K187"/>
  <c r="K210"/>
  <c r="K206"/>
  <c r="K198"/>
  <c r="K132"/>
  <c r="K140"/>
  <c r="K131"/>
  <c r="K149"/>
  <c r="K150"/>
  <c r="K155"/>
  <c r="L189"/>
  <c r="L130"/>
  <c r="L138"/>
  <c r="L233"/>
  <c r="L137"/>
  <c r="L139"/>
  <c r="L234"/>
  <c r="L170"/>
  <c r="L171"/>
  <c r="L168"/>
  <c r="L169"/>
  <c r="L154"/>
  <c r="L158"/>
  <c r="F186"/>
  <c r="H189"/>
  <c r="G185"/>
  <c r="I134"/>
  <c r="I182"/>
  <c r="I161"/>
  <c r="I173"/>
  <c r="I146"/>
  <c r="J160"/>
  <c r="J159"/>
  <c r="J143"/>
  <c r="J150"/>
  <c r="J149"/>
  <c r="K129"/>
  <c r="K186"/>
  <c r="K164"/>
  <c r="K165"/>
  <c r="K163"/>
  <c r="K167"/>
  <c r="K166"/>
  <c r="K176"/>
  <c r="K177"/>
  <c r="K178"/>
  <c r="K158"/>
  <c r="L235"/>
  <c r="L132"/>
  <c r="L140"/>
  <c r="L131"/>
  <c r="L142"/>
  <c r="L141"/>
  <c r="L148"/>
  <c r="L147"/>
  <c r="H185"/>
  <c r="I139"/>
  <c r="I138"/>
  <c r="I137"/>
  <c r="I162"/>
  <c r="I61"/>
  <c r="I62"/>
  <c r="I152"/>
  <c r="I156"/>
  <c r="J172"/>
  <c r="J177"/>
  <c r="J178"/>
  <c r="J176"/>
  <c r="J144"/>
  <c r="K189"/>
  <c r="J155"/>
  <c r="K130"/>
  <c r="J157"/>
  <c r="K159"/>
  <c r="K160"/>
  <c r="K172"/>
  <c r="K61"/>
  <c r="K62"/>
  <c r="K143"/>
  <c r="L172"/>
  <c r="L156"/>
  <c r="H207"/>
  <c r="H211"/>
  <c r="H204"/>
  <c r="H208"/>
  <c r="H212"/>
  <c r="H58"/>
  <c r="H206"/>
  <c r="H205"/>
  <c r="H213"/>
  <c r="H187"/>
  <c r="H214"/>
  <c r="H210"/>
  <c r="H209"/>
  <c r="H215"/>
  <c r="I174"/>
  <c r="I144"/>
  <c r="I149"/>
  <c r="I150"/>
  <c r="J133"/>
  <c r="J163"/>
  <c r="J165"/>
  <c r="J167"/>
  <c r="J186"/>
  <c r="J164"/>
  <c r="J166"/>
  <c r="J169"/>
  <c r="J170"/>
  <c r="J171"/>
  <c r="J168"/>
  <c r="J154"/>
  <c r="K134"/>
  <c r="K161"/>
  <c r="K182"/>
  <c r="K146"/>
  <c r="K126"/>
  <c r="L133"/>
  <c r="L159"/>
  <c r="L160"/>
  <c r="L144"/>
  <c r="L176"/>
  <c r="L178"/>
  <c r="L177"/>
  <c r="L155"/>
  <c r="L157"/>
  <c r="L134"/>
  <c r="L182"/>
  <c r="L161"/>
  <c r="L173"/>
  <c r="L146"/>
  <c r="L126"/>
  <c r="K136"/>
  <c r="K125"/>
  <c r="K185"/>
  <c r="K135"/>
  <c r="K162"/>
  <c r="K173"/>
  <c r="K156"/>
  <c r="L143"/>
  <c r="L153"/>
  <c r="AL41" i="17"/>
  <c r="AK173"/>
  <c r="AJ145"/>
  <c r="AH241"/>
  <c r="AH51"/>
  <c r="AG158"/>
  <c r="AF178"/>
  <c r="AF156"/>
  <c r="AF164"/>
  <c r="AD152"/>
  <c r="AC234"/>
  <c r="AB153"/>
  <c r="AB146"/>
  <c r="Z160"/>
  <c r="Z159"/>
  <c r="Y152"/>
  <c r="Y175"/>
  <c r="V153"/>
  <c r="V147"/>
  <c r="V173"/>
  <c r="T175"/>
  <c r="S173"/>
  <c r="Q157"/>
  <c r="P239"/>
  <c r="P162"/>
  <c r="O151"/>
  <c r="O141"/>
  <c r="N134"/>
  <c r="N152"/>
  <c r="M152"/>
  <c r="M177"/>
  <c r="L143"/>
  <c r="L164"/>
  <c r="L162"/>
  <c r="K233"/>
  <c r="K232"/>
  <c r="K162"/>
  <c r="K185"/>
  <c r="H41"/>
  <c r="F188"/>
  <c r="H43"/>
  <c r="N178"/>
  <c r="M173"/>
  <c r="AF167"/>
  <c r="AK141"/>
  <c r="W145"/>
  <c r="L153"/>
  <c r="AJ233"/>
  <c r="L182"/>
  <c r="AF186"/>
  <c r="AD146"/>
  <c r="AD158"/>
  <c r="AA241"/>
  <c r="X154"/>
  <c r="AL133"/>
  <c r="AH174"/>
  <c r="AE136"/>
  <c r="AA158"/>
  <c r="Z153"/>
  <c r="P151"/>
  <c r="P148"/>
  <c r="V145"/>
  <c r="P174"/>
  <c r="U146"/>
  <c r="M186"/>
  <c r="AG133"/>
  <c r="M156"/>
  <c r="J159"/>
  <c r="X153"/>
  <c r="AK162"/>
  <c r="AB143"/>
  <c r="L167"/>
  <c r="S156"/>
  <c r="J149"/>
  <c r="AC21"/>
  <c r="AC236"/>
  <c r="I68"/>
  <c r="F237"/>
  <c r="E237"/>
  <c r="F224"/>
  <c r="AJ162"/>
  <c r="AL172"/>
  <c r="AG156"/>
  <c r="AD68"/>
  <c r="AJ153"/>
  <c r="AH177"/>
  <c r="AF149"/>
  <c r="AB151"/>
  <c r="X149"/>
  <c r="AE171"/>
  <c r="AA145"/>
  <c r="AJ138"/>
  <c r="P146"/>
  <c r="Q146"/>
  <c r="M154"/>
  <c r="X162"/>
  <c r="Q161"/>
  <c r="K21"/>
  <c r="P160"/>
  <c r="J153"/>
  <c r="J151"/>
  <c r="J239"/>
  <c r="L174"/>
  <c r="V146"/>
  <c r="Z157"/>
  <c r="AE149"/>
  <c r="AI175"/>
  <c r="AC125"/>
  <c r="S174"/>
  <c r="AJ134"/>
  <c r="AL157"/>
  <c r="AK139"/>
  <c r="AB160"/>
  <c r="U151"/>
  <c r="AA144"/>
  <c r="T173"/>
  <c r="N154"/>
  <c r="J157"/>
  <c r="AH152"/>
  <c r="S146"/>
  <c r="AJ168"/>
  <c r="T154"/>
  <c r="J165"/>
  <c r="AI152"/>
  <c r="J173"/>
  <c r="V10"/>
  <c r="V215" s="1"/>
  <c r="V151"/>
  <c r="E231"/>
  <c r="AH175"/>
  <c r="E230"/>
  <c r="R134"/>
  <c r="AB156"/>
  <c r="AD148"/>
  <c r="R172"/>
  <c r="O68"/>
  <c r="AA173"/>
  <c r="R175"/>
  <c r="AI150"/>
  <c r="T138"/>
  <c r="O154"/>
  <c r="Y173"/>
  <c r="T43"/>
  <c r="T176" s="1"/>
  <c r="S186"/>
  <c r="J154"/>
  <c r="L171"/>
  <c r="K174"/>
  <c r="N148"/>
  <c r="S168"/>
  <c r="S169"/>
  <c r="W154"/>
  <c r="X169"/>
  <c r="X171"/>
  <c r="X170"/>
  <c r="Q159"/>
  <c r="Q160"/>
  <c r="R235"/>
  <c r="R137"/>
  <c r="V68"/>
  <c r="J143"/>
  <c r="N142"/>
  <c r="N141"/>
  <c r="AB135"/>
  <c r="AH163"/>
  <c r="AH125"/>
  <c r="AG178"/>
  <c r="U41"/>
  <c r="AK145"/>
  <c r="AK234"/>
  <c r="AK43"/>
  <c r="AK176"/>
  <c r="W161"/>
  <c r="AK169"/>
  <c r="K145"/>
  <c r="N161"/>
  <c r="AK233"/>
  <c r="S165"/>
  <c r="S238"/>
  <c r="S167"/>
  <c r="I142"/>
  <c r="I141"/>
  <c r="S21"/>
  <c r="S237" s="1"/>
  <c r="AJ158"/>
  <c r="AG147"/>
  <c r="AL147"/>
  <c r="AK163"/>
  <c r="AL68"/>
  <c r="AK144"/>
  <c r="AG162"/>
  <c r="AI157"/>
  <c r="AH178"/>
  <c r="AE133"/>
  <c r="Z134"/>
  <c r="AC174"/>
  <c r="AG148"/>
  <c r="AA133"/>
  <c r="X177"/>
  <c r="U150"/>
  <c r="T162"/>
  <c r="S162"/>
  <c r="Q156"/>
  <c r="R167"/>
  <c r="AA151"/>
  <c r="O158"/>
  <c r="Q154"/>
  <c r="U152"/>
  <c r="V156"/>
  <c r="S158"/>
  <c r="AB136"/>
  <c r="AI146"/>
  <c r="AK133"/>
  <c r="AF148"/>
  <c r="AE151"/>
  <c r="AD174"/>
  <c r="AB173"/>
  <c r="AA147"/>
  <c r="AI153"/>
  <c r="AD173"/>
  <c r="AE143"/>
  <c r="Y145"/>
  <c r="Z241"/>
  <c r="AC156"/>
  <c r="Z172"/>
  <c r="W162"/>
  <c r="AH146"/>
  <c r="AG175"/>
  <c r="AA154"/>
  <c r="W151"/>
  <c r="U175"/>
  <c r="S133"/>
  <c r="L43"/>
  <c r="AJ173"/>
  <c r="N156"/>
  <c r="W153"/>
  <c r="AF146"/>
  <c r="AA160"/>
  <c r="U143"/>
  <c r="T133"/>
  <c r="O153"/>
  <c r="N133"/>
  <c r="R158"/>
  <c r="AG153"/>
  <c r="AB41"/>
  <c r="X134"/>
  <c r="M145"/>
  <c r="AH41"/>
  <c r="J152"/>
  <c r="AA174"/>
  <c r="T160"/>
  <c r="AC154"/>
  <c r="S157"/>
  <c r="X152"/>
  <c r="AJ144"/>
  <c r="AF154"/>
  <c r="AE173"/>
  <c r="AC133"/>
  <c r="Z156"/>
  <c r="AK143"/>
  <c r="AH141"/>
  <c r="AG151"/>
  <c r="AF153"/>
  <c r="AB145"/>
  <c r="AI145"/>
  <c r="AC153"/>
  <c r="V148"/>
  <c r="AE158"/>
  <c r="AC173"/>
  <c r="W168"/>
  <c r="X159"/>
  <c r="AH134"/>
  <c r="AE68"/>
  <c r="X178"/>
  <c r="O160"/>
  <c r="S68"/>
  <c r="N147"/>
  <c r="X68"/>
  <c r="R32"/>
  <c r="N157"/>
  <c r="I152"/>
  <c r="Z68"/>
  <c r="P157"/>
  <c r="O152"/>
  <c r="N159"/>
  <c r="AG41"/>
  <c r="X146"/>
  <c r="R138"/>
  <c r="L149"/>
  <c r="P173"/>
  <c r="X172"/>
  <c r="M134"/>
  <c r="AC186"/>
  <c r="AL156"/>
  <c r="AK158"/>
  <c r="AH135"/>
  <c r="AB158"/>
  <c r="AH150"/>
  <c r="AG174"/>
  <c r="Y178"/>
  <c r="X133"/>
  <c r="U173"/>
  <c r="AE170"/>
  <c r="AE153"/>
  <c r="X157"/>
  <c r="AJ146"/>
  <c r="S170"/>
  <c r="N43"/>
  <c r="N176"/>
  <c r="X41"/>
  <c r="L68"/>
  <c r="N173"/>
  <c r="M148"/>
  <c r="M162"/>
  <c r="L133"/>
  <c r="H241"/>
  <c r="M163"/>
  <c r="K158"/>
  <c r="H32"/>
  <c r="R185"/>
  <c r="T143"/>
  <c r="AE156"/>
  <c r="I158"/>
  <c r="V174"/>
  <c r="U178"/>
  <c r="I133"/>
  <c r="K153"/>
  <c r="AA143"/>
  <c r="AE152"/>
  <c r="AD167"/>
  <c r="M41"/>
  <c r="J158"/>
  <c r="AK125"/>
  <c r="AJ133"/>
  <c r="AI174"/>
  <c r="AL154"/>
  <c r="AH144"/>
  <c r="Z147"/>
  <c r="AF169"/>
  <c r="AE154"/>
  <c r="Z168"/>
  <c r="T152"/>
  <c r="AI143"/>
  <c r="AC147"/>
  <c r="U68"/>
  <c r="X143"/>
  <c r="X135"/>
  <c r="U157"/>
  <c r="O145"/>
  <c r="AA68"/>
  <c r="Y151"/>
  <c r="S148"/>
  <c r="Q158"/>
  <c r="AC151"/>
  <c r="M153"/>
  <c r="AF173"/>
  <c r="I146"/>
  <c r="I134"/>
  <c r="AK154"/>
  <c r="L154"/>
  <c r="AJ174"/>
  <c r="T174"/>
  <c r="N158"/>
  <c r="AH162"/>
  <c r="AB174"/>
  <c r="AB32"/>
  <c r="AA138"/>
  <c r="AA234"/>
  <c r="AA139"/>
  <c r="AA137"/>
  <c r="AA233"/>
  <c r="Y153"/>
  <c r="M149"/>
  <c r="M150"/>
  <c r="AD160"/>
  <c r="AD159"/>
  <c r="Q143"/>
  <c r="Q144"/>
  <c r="Z178"/>
  <c r="Z177"/>
  <c r="Z41"/>
  <c r="AA232"/>
  <c r="AA135"/>
  <c r="AA51"/>
  <c r="AA136"/>
  <c r="W32"/>
  <c r="W172"/>
  <c r="E185"/>
  <c r="E232"/>
  <c r="H239"/>
  <c r="H186"/>
  <c r="H21"/>
  <c r="H238"/>
  <c r="R160"/>
  <c r="R159"/>
  <c r="J233"/>
  <c r="J139"/>
  <c r="J234"/>
  <c r="J145"/>
  <c r="Z173"/>
  <c r="Z32"/>
  <c r="AE178"/>
  <c r="AE177"/>
  <c r="AD138"/>
  <c r="AD233"/>
  <c r="AD137"/>
  <c r="AD139"/>
  <c r="AB162"/>
  <c r="AI142"/>
  <c r="AI141"/>
  <c r="AC158"/>
  <c r="AB177"/>
  <c r="AB178"/>
  <c r="AJ161"/>
  <c r="AJ182"/>
  <c r="AF165"/>
  <c r="AF68"/>
  <c r="W148"/>
  <c r="W147"/>
  <c r="V160"/>
  <c r="V159"/>
  <c r="AG21"/>
  <c r="AG164"/>
  <c r="AG167"/>
  <c r="AG186"/>
  <c r="AG239"/>
  <c r="AG238"/>
  <c r="AG163"/>
  <c r="AG125"/>
  <c r="AB142"/>
  <c r="AB141"/>
  <c r="V167"/>
  <c r="V164"/>
  <c r="V21"/>
  <c r="V241"/>
  <c r="V165"/>
  <c r="V186"/>
  <c r="V163"/>
  <c r="V166"/>
  <c r="V238"/>
  <c r="V239"/>
  <c r="AC134"/>
  <c r="Y147"/>
  <c r="Y148"/>
  <c r="V158"/>
  <c r="T145"/>
  <c r="T146"/>
  <c r="S142"/>
  <c r="S141"/>
  <c r="Q32"/>
  <c r="Q174"/>
  <c r="T238"/>
  <c r="T167"/>
  <c r="T239"/>
  <c r="T241"/>
  <c r="T166"/>
  <c r="T165"/>
  <c r="T164"/>
  <c r="T186"/>
  <c r="T21"/>
  <c r="T163"/>
  <c r="L173"/>
  <c r="AD165"/>
  <c r="AD164"/>
  <c r="AD238"/>
  <c r="AD166"/>
  <c r="AD239"/>
  <c r="AD241"/>
  <c r="AD163"/>
  <c r="AD21"/>
  <c r="O172"/>
  <c r="O32"/>
  <c r="M141"/>
  <c r="M142"/>
  <c r="AD142"/>
  <c r="AD141"/>
  <c r="W185"/>
  <c r="W10"/>
  <c r="W135"/>
  <c r="W125"/>
  <c r="W51"/>
  <c r="W136"/>
  <c r="S10"/>
  <c r="S135"/>
  <c r="S185"/>
  <c r="S232"/>
  <c r="S51"/>
  <c r="S125"/>
  <c r="R161"/>
  <c r="R162"/>
  <c r="O150"/>
  <c r="O149"/>
  <c r="AB134"/>
  <c r="P138"/>
  <c r="P139"/>
  <c r="P137"/>
  <c r="H234"/>
  <c r="H233"/>
  <c r="N172"/>
  <c r="N32"/>
  <c r="J178"/>
  <c r="J41"/>
  <c r="J177"/>
  <c r="L141"/>
  <c r="L142"/>
  <c r="G237"/>
  <c r="G232"/>
  <c r="G185"/>
  <c r="F239"/>
  <c r="F238"/>
  <c r="F186"/>
  <c r="AA150"/>
  <c r="AA149"/>
  <c r="T232"/>
  <c r="T135"/>
  <c r="T51"/>
  <c r="T125"/>
  <c r="T136"/>
  <c r="T185"/>
  <c r="H188"/>
  <c r="F232"/>
  <c r="F185"/>
  <c r="P238"/>
  <c r="P186"/>
  <c r="P167"/>
  <c r="P165"/>
  <c r="P164"/>
  <c r="P21"/>
  <c r="P166"/>
  <c r="J135"/>
  <c r="J232"/>
  <c r="J185"/>
  <c r="J136"/>
  <c r="J10"/>
  <c r="J52"/>
  <c r="J182"/>
  <c r="J161"/>
  <c r="I125"/>
  <c r="I51"/>
  <c r="I136"/>
  <c r="I10"/>
  <c r="I232"/>
  <c r="I52"/>
  <c r="I185"/>
  <c r="O146"/>
  <c r="K144"/>
  <c r="I41"/>
  <c r="I188"/>
  <c r="I160"/>
  <c r="I159"/>
  <c r="S41"/>
  <c r="S177"/>
  <c r="S178"/>
  <c r="O139"/>
  <c r="O234"/>
  <c r="O233"/>
  <c r="O138"/>
  <c r="O137"/>
  <c r="O134"/>
  <c r="I163"/>
  <c r="I21"/>
  <c r="I164"/>
  <c r="I238"/>
  <c r="I186"/>
  <c r="I167"/>
  <c r="I166"/>
  <c r="I241"/>
  <c r="I239"/>
  <c r="I165"/>
  <c r="R154"/>
  <c r="AD41"/>
  <c r="AD177"/>
  <c r="AD178"/>
  <c r="Y133"/>
  <c r="G238"/>
  <c r="G186"/>
  <c r="G239"/>
  <c r="G241"/>
  <c r="Q182"/>
  <c r="AA125"/>
  <c r="P159"/>
  <c r="AK178"/>
  <c r="AK177"/>
  <c r="AL139"/>
  <c r="AL138"/>
  <c r="AL137"/>
  <c r="AL233"/>
  <c r="AL234"/>
  <c r="AK134"/>
  <c r="AL169"/>
  <c r="AJ154"/>
  <c r="AH136"/>
  <c r="AH143"/>
  <c r="AF182"/>
  <c r="AF161"/>
  <c r="AE32"/>
  <c r="AE172"/>
  <c r="AE125"/>
  <c r="AD153"/>
  <c r="AD51"/>
  <c r="AD125"/>
  <c r="AD232"/>
  <c r="AD136"/>
  <c r="AD10"/>
  <c r="AD213" s="1"/>
  <c r="AD185"/>
  <c r="AC178"/>
  <c r="AC177"/>
  <c r="AC41"/>
  <c r="Z136"/>
  <c r="Z185"/>
  <c r="Z51"/>
  <c r="Z232"/>
  <c r="Z135"/>
  <c r="Z10"/>
  <c r="Z125"/>
  <c r="AL144"/>
  <c r="AI173"/>
  <c r="AG161"/>
  <c r="AG182"/>
  <c r="AF147"/>
  <c r="AD43"/>
  <c r="AD176" s="1"/>
  <c r="AB185"/>
  <c r="AB51"/>
  <c r="AB10"/>
  <c r="AB232"/>
  <c r="AB125"/>
  <c r="AI43"/>
  <c r="AI176"/>
  <c r="Z151"/>
  <c r="X43"/>
  <c r="X176" s="1"/>
  <c r="T177"/>
  <c r="T178"/>
  <c r="T41"/>
  <c r="Q175"/>
  <c r="AH147"/>
  <c r="AH148"/>
  <c r="AA168"/>
  <c r="AA171"/>
  <c r="AA169"/>
  <c r="R148"/>
  <c r="R147"/>
  <c r="AH137"/>
  <c r="AH233"/>
  <c r="AH234"/>
  <c r="AH139"/>
  <c r="AH138"/>
  <c r="AD143"/>
  <c r="AD144"/>
  <c r="AH145"/>
  <c r="AB239"/>
  <c r="AB238"/>
  <c r="AB241"/>
  <c r="AB186"/>
  <c r="AB164"/>
  <c r="AB166"/>
  <c r="AB163"/>
  <c r="AB21"/>
  <c r="AB165"/>
  <c r="AB167"/>
  <c r="Y138"/>
  <c r="Y233"/>
  <c r="Y139"/>
  <c r="Y137"/>
  <c r="Y234"/>
  <c r="U144"/>
  <c r="T68"/>
  <c r="R133"/>
  <c r="AC43"/>
  <c r="AC176" s="1"/>
  <c r="T157"/>
  <c r="X160"/>
  <c r="O157"/>
  <c r="AB168"/>
  <c r="AB171"/>
  <c r="AB170"/>
  <c r="X161"/>
  <c r="X182"/>
  <c r="N146"/>
  <c r="AH158"/>
  <c r="Y134"/>
  <c r="N151"/>
  <c r="J171"/>
  <c r="J169"/>
  <c r="J170"/>
  <c r="J168"/>
  <c r="J21"/>
  <c r="J237" s="1"/>
  <c r="J186"/>
  <c r="V182"/>
  <c r="V161"/>
  <c r="K160"/>
  <c r="AD149"/>
  <c r="AD150"/>
  <c r="R149"/>
  <c r="R150"/>
  <c r="J141"/>
  <c r="J142"/>
  <c r="G230"/>
  <c r="F230"/>
  <c r="G204" s="1"/>
  <c r="G233"/>
  <c r="F241"/>
  <c r="G215"/>
  <c r="G212"/>
  <c r="G231"/>
  <c r="F231"/>
  <c r="G187"/>
  <c r="G211"/>
  <c r="G206"/>
  <c r="G213"/>
  <c r="G234"/>
  <c r="F234"/>
  <c r="R186"/>
  <c r="R170"/>
  <c r="R168"/>
  <c r="R171"/>
  <c r="R169"/>
  <c r="N153"/>
  <c r="I157"/>
  <c r="I172"/>
  <c r="E234"/>
  <c r="F208" s="1"/>
  <c r="E233"/>
  <c r="F207" s="1"/>
  <c r="E238"/>
  <c r="F212" s="1"/>
  <c r="F206"/>
  <c r="F211"/>
  <c r="E241"/>
  <c r="F215" s="1"/>
  <c r="F205"/>
  <c r="E236"/>
  <c r="F210"/>
  <c r="F204"/>
  <c r="F187"/>
  <c r="E239"/>
  <c r="F213" s="1"/>
  <c r="L151"/>
  <c r="U141"/>
  <c r="U142"/>
  <c r="K43"/>
  <c r="K176"/>
  <c r="AF145"/>
  <c r="M172"/>
  <c r="M32"/>
  <c r="I32"/>
  <c r="I175"/>
  <c r="N175"/>
  <c r="I147"/>
  <c r="N150"/>
  <c r="N149"/>
  <c r="P172"/>
  <c r="P32"/>
  <c r="J146"/>
  <c r="S43"/>
  <c r="S176" s="1"/>
  <c r="AL51"/>
  <c r="AL135"/>
  <c r="AL232"/>
  <c r="AL10"/>
  <c r="AL136"/>
  <c r="AL125"/>
  <c r="AL185"/>
  <c r="AL182"/>
  <c r="AL161"/>
  <c r="AA142"/>
  <c r="AA141"/>
  <c r="Y159"/>
  <c r="Y160"/>
  <c r="X163"/>
  <c r="X239"/>
  <c r="X167"/>
  <c r="X241"/>
  <c r="X21"/>
  <c r="X236" s="1"/>
  <c r="X166"/>
  <c r="X165"/>
  <c r="U162"/>
  <c r="U161"/>
  <c r="AB150"/>
  <c r="AB149"/>
  <c r="AF160"/>
  <c r="AF159"/>
  <c r="X142"/>
  <c r="X141"/>
  <c r="Z182"/>
  <c r="Z161"/>
  <c r="R145"/>
  <c r="R139"/>
  <c r="R234"/>
  <c r="R233"/>
  <c r="O177"/>
  <c r="O178"/>
  <c r="O41"/>
  <c r="M168"/>
  <c r="M171"/>
  <c r="M169"/>
  <c r="N143"/>
  <c r="N144"/>
  <c r="K172"/>
  <c r="K32"/>
  <c r="K125"/>
  <c r="AF172"/>
  <c r="AF32"/>
  <c r="L148"/>
  <c r="L147"/>
  <c r="O161"/>
  <c r="O182"/>
  <c r="W165"/>
  <c r="W239"/>
  <c r="W164"/>
  <c r="W238"/>
  <c r="W166"/>
  <c r="W167"/>
  <c r="W186"/>
  <c r="W163"/>
  <c r="W21"/>
  <c r="W236"/>
  <c r="J134"/>
  <c r="M170"/>
  <c r="P147"/>
  <c r="M125"/>
  <c r="M68"/>
  <c r="X164"/>
  <c r="P241"/>
  <c r="S164"/>
  <c r="P234"/>
  <c r="T10"/>
  <c r="T59" s="1"/>
  <c r="X238"/>
  <c r="AK156"/>
  <c r="X186"/>
  <c r="AH161"/>
  <c r="W41"/>
  <c r="U137"/>
  <c r="AL151"/>
  <c r="AC175"/>
  <c r="AC32"/>
  <c r="AL239"/>
  <c r="AL165"/>
  <c r="AL21"/>
  <c r="AL238"/>
  <c r="AL164"/>
  <c r="AL241"/>
  <c r="AL166"/>
  <c r="AL186"/>
  <c r="AL163"/>
  <c r="AE159"/>
  <c r="AE160"/>
  <c r="AJ147"/>
  <c r="AJ148"/>
  <c r="AB169"/>
  <c r="U154"/>
  <c r="L159"/>
  <c r="L160"/>
  <c r="R135"/>
  <c r="I182"/>
  <c r="I161"/>
  <c r="L139"/>
  <c r="L234"/>
  <c r="L233"/>
  <c r="L137"/>
  <c r="I177"/>
  <c r="I178"/>
  <c r="R68"/>
  <c r="R165"/>
  <c r="U21"/>
  <c r="U166"/>
  <c r="U239"/>
  <c r="U164"/>
  <c r="U238"/>
  <c r="U186"/>
  <c r="U165"/>
  <c r="U167"/>
  <c r="U163"/>
  <c r="U241"/>
  <c r="W241"/>
  <c r="AL141"/>
  <c r="AL142"/>
  <c r="AE157"/>
  <c r="W152"/>
  <c r="Y161"/>
  <c r="P163"/>
  <c r="N135"/>
  <c r="P233"/>
  <c r="X174"/>
  <c r="AG241"/>
  <c r="J125"/>
  <c r="AK32"/>
  <c r="AK172"/>
  <c r="AJ159"/>
  <c r="AJ160"/>
  <c r="AF136"/>
  <c r="AF135"/>
  <c r="AF10"/>
  <c r="AF51"/>
  <c r="AF185"/>
  <c r="AF232"/>
  <c r="AF125"/>
  <c r="AJ169"/>
  <c r="AI233"/>
  <c r="AI138"/>
  <c r="AI139"/>
  <c r="AI137"/>
  <c r="AI234"/>
  <c r="X232"/>
  <c r="X136"/>
  <c r="N239"/>
  <c r="N165"/>
  <c r="N186"/>
  <c r="N163"/>
  <c r="N164"/>
  <c r="N167"/>
  <c r="N241"/>
  <c r="N238"/>
  <c r="N166"/>
  <c r="N21"/>
  <c r="T150"/>
  <c r="T149"/>
  <c r="J240"/>
  <c r="J164"/>
  <c r="J43"/>
  <c r="J176" s="1"/>
  <c r="W159"/>
  <c r="W160"/>
  <c r="AB133"/>
  <c r="K52"/>
  <c r="AL146"/>
  <c r="V141"/>
  <c r="V142"/>
  <c r="AA185"/>
  <c r="X32"/>
  <c r="AJ68"/>
  <c r="Y135"/>
  <c r="I162"/>
  <c r="AD234"/>
  <c r="M21"/>
  <c r="M237"/>
  <c r="AA10"/>
  <c r="AA60"/>
  <c r="K135"/>
  <c r="AG166"/>
  <c r="AG173"/>
  <c r="AG145"/>
  <c r="AG146"/>
  <c r="AH149"/>
  <c r="AD156"/>
  <c r="AC171"/>
  <c r="AC168"/>
  <c r="AC169"/>
  <c r="AC170"/>
  <c r="AD145"/>
  <c r="V133"/>
  <c r="AE41"/>
  <c r="Z167"/>
  <c r="Z186"/>
  <c r="Z239"/>
  <c r="Z166"/>
  <c r="Z165"/>
  <c r="Z163"/>
  <c r="Z238"/>
  <c r="Z164"/>
  <c r="AL158"/>
  <c r="AL162"/>
  <c r="AG171"/>
  <c r="AG170"/>
  <c r="AG169"/>
  <c r="AG168"/>
  <c r="R174"/>
  <c r="Y21"/>
  <c r="Y167"/>
  <c r="Y166"/>
  <c r="Y163"/>
  <c r="Y239"/>
  <c r="Y165"/>
  <c r="Y186"/>
  <c r="Y238"/>
  <c r="Y241"/>
  <c r="Y164"/>
  <c r="Z138"/>
  <c r="Z139"/>
  <c r="Z137"/>
  <c r="N145"/>
  <c r="Q43"/>
  <c r="Q176" s="1"/>
  <c r="K149"/>
  <c r="K150"/>
  <c r="O147"/>
  <c r="O148"/>
  <c r="M43"/>
  <c r="M176" s="1"/>
  <c r="R156"/>
  <c r="AK147"/>
  <c r="AK148"/>
  <c r="AJ172"/>
  <c r="AJ32"/>
  <c r="AL177"/>
  <c r="AL178"/>
  <c r="AG232"/>
  <c r="AG10"/>
  <c r="AG32"/>
  <c r="AG127"/>
  <c r="AG185"/>
  <c r="AG136"/>
  <c r="AG135"/>
  <c r="AI159"/>
  <c r="AI160"/>
  <c r="AG165"/>
  <c r="AG68"/>
  <c r="AJ41"/>
  <c r="AJ178"/>
  <c r="AJ177"/>
  <c r="AA157"/>
  <c r="V143"/>
  <c r="T182"/>
  <c r="T161"/>
  <c r="Z152"/>
  <c r="S171"/>
  <c r="W133"/>
  <c r="R157"/>
  <c r="O159"/>
  <c r="U233"/>
  <c r="U139"/>
  <c r="U138"/>
  <c r="S160"/>
  <c r="S159"/>
  <c r="AE142"/>
  <c r="AE141"/>
  <c r="O170"/>
  <c r="O169"/>
  <c r="O171"/>
  <c r="O168"/>
  <c r="O125"/>
  <c r="O135"/>
  <c r="O232"/>
  <c r="O136"/>
  <c r="O185"/>
  <c r="O10"/>
  <c r="O51"/>
  <c r="AC161"/>
  <c r="AC182"/>
  <c r="Q167"/>
  <c r="Q166"/>
  <c r="Q238"/>
  <c r="Q239"/>
  <c r="Q186"/>
  <c r="Q165"/>
  <c r="Q241"/>
  <c r="Q21"/>
  <c r="Q164"/>
  <c r="Q163"/>
  <c r="J175"/>
  <c r="E186"/>
  <c r="V233"/>
  <c r="V139"/>
  <c r="K169"/>
  <c r="Q172"/>
  <c r="AF150"/>
  <c r="Z233"/>
  <c r="R125"/>
  <c r="V234"/>
  <c r="S166"/>
  <c r="K186"/>
  <c r="AK182"/>
  <c r="AK161"/>
  <c r="AJ151"/>
  <c r="AK146"/>
  <c r="AK135"/>
  <c r="AJ175"/>
  <c r="AI167"/>
  <c r="AK159"/>
  <c r="AK160"/>
  <c r="AJ238"/>
  <c r="AJ163"/>
  <c r="AJ239"/>
  <c r="AJ167"/>
  <c r="AJ186"/>
  <c r="AJ165"/>
  <c r="AJ21"/>
  <c r="AJ241"/>
  <c r="AJ166"/>
  <c r="AI149"/>
  <c r="AC159"/>
  <c r="AC160"/>
  <c r="AJ43"/>
  <c r="AJ176"/>
  <c r="AG137"/>
  <c r="AG233"/>
  <c r="AG139"/>
  <c r="AG138"/>
  <c r="AG234"/>
  <c r="AF163"/>
  <c r="AF239"/>
  <c r="AF166"/>
  <c r="AF241"/>
  <c r="AF238"/>
  <c r="AC157"/>
  <c r="AC172"/>
  <c r="AJ143"/>
  <c r="AL143"/>
  <c r="AH239"/>
  <c r="AH21"/>
  <c r="AH166"/>
  <c r="AH165"/>
  <c r="AH167"/>
  <c r="AH238"/>
  <c r="AH164"/>
  <c r="AH186"/>
  <c r="AC148"/>
  <c r="AA152"/>
  <c r="AB157"/>
  <c r="AB161"/>
  <c r="AB182"/>
  <c r="U156"/>
  <c r="T141"/>
  <c r="T142"/>
  <c r="AK149"/>
  <c r="AK150"/>
  <c r="AG160"/>
  <c r="AF162"/>
  <c r="AD134"/>
  <c r="S150"/>
  <c r="AI135"/>
  <c r="AI134"/>
  <c r="AG149"/>
  <c r="AG150"/>
  <c r="AF151"/>
  <c r="AE51"/>
  <c r="AE185"/>
  <c r="AE135"/>
  <c r="AE232"/>
  <c r="AE10"/>
  <c r="AD133"/>
  <c r="AC233"/>
  <c r="T153"/>
  <c r="AK51"/>
  <c r="AK185"/>
  <c r="AK136"/>
  <c r="AK10"/>
  <c r="AK232"/>
  <c r="AF157"/>
  <c r="AL32"/>
  <c r="AL175"/>
  <c r="AE162"/>
  <c r="AD186"/>
  <c r="AD168"/>
  <c r="AD170"/>
  <c r="AD171"/>
  <c r="AD169"/>
  <c r="AB148"/>
  <c r="AB147"/>
  <c r="Z144"/>
  <c r="Y162"/>
  <c r="U133"/>
  <c r="Q152"/>
  <c r="N170"/>
  <c r="N169"/>
  <c r="N171"/>
  <c r="N168"/>
  <c r="AJ156"/>
  <c r="Z162"/>
  <c r="S147"/>
  <c r="AE147"/>
  <c r="U148"/>
  <c r="U147"/>
  <c r="P158"/>
  <c r="AI182"/>
  <c r="AI161"/>
  <c r="AF133"/>
  <c r="V144"/>
  <c r="R144"/>
  <c r="Q162"/>
  <c r="O163"/>
  <c r="O21"/>
  <c r="O165"/>
  <c r="O241"/>
  <c r="O239"/>
  <c r="O238"/>
  <c r="O164"/>
  <c r="O186"/>
  <c r="O166"/>
  <c r="X175"/>
  <c r="U135"/>
  <c r="R143"/>
  <c r="K134"/>
  <c r="AC162"/>
  <c r="K143"/>
  <c r="J172"/>
  <c r="J32"/>
  <c r="AH68"/>
  <c r="X156"/>
  <c r="U153"/>
  <c r="I43"/>
  <c r="I176"/>
  <c r="H189"/>
  <c r="Z133"/>
  <c r="V157"/>
  <c r="T144"/>
  <c r="L168"/>
  <c r="L169"/>
  <c r="I145"/>
  <c r="AB172"/>
  <c r="X125"/>
  <c r="X185"/>
  <c r="X10"/>
  <c r="X51"/>
  <c r="U149"/>
  <c r="P150"/>
  <c r="P149"/>
  <c r="K154"/>
  <c r="T156"/>
  <c r="R163"/>
  <c r="R241"/>
  <c r="R164"/>
  <c r="R238"/>
  <c r="R21"/>
  <c r="R239"/>
  <c r="R166"/>
  <c r="L152"/>
  <c r="I154"/>
  <c r="AA43"/>
  <c r="AA176"/>
  <c r="V178"/>
  <c r="V41"/>
  <c r="V177"/>
  <c r="J160"/>
  <c r="P154"/>
  <c r="L170"/>
  <c r="K152"/>
  <c r="L172"/>
  <c r="S138"/>
  <c r="W141"/>
  <c r="W142"/>
  <c r="J137"/>
  <c r="J138"/>
  <c r="K142"/>
  <c r="K141"/>
  <c r="P134"/>
  <c r="S144"/>
  <c r="AG134"/>
  <c r="T148"/>
  <c r="T147"/>
  <c r="AE169"/>
  <c r="Y141"/>
  <c r="Y142"/>
  <c r="AI156"/>
  <c r="L138"/>
  <c r="P168"/>
  <c r="P170"/>
  <c r="P169"/>
  <c r="P171"/>
  <c r="L146"/>
  <c r="T172"/>
  <c r="T32"/>
  <c r="N139"/>
  <c r="N234"/>
  <c r="N138"/>
  <c r="N233"/>
  <c r="N137"/>
  <c r="L177"/>
  <c r="L41"/>
  <c r="L176"/>
  <c r="I135"/>
  <c r="P177"/>
  <c r="P41"/>
  <c r="T151"/>
  <c r="K159"/>
  <c r="M182"/>
  <c r="M161"/>
  <c r="J156"/>
  <c r="L178"/>
  <c r="AK151"/>
  <c r="AJ171"/>
  <c r="AJ170"/>
  <c r="AF234"/>
  <c r="AF138"/>
  <c r="AF137"/>
  <c r="AF139"/>
  <c r="AF233"/>
  <c r="AJ142"/>
  <c r="AJ141"/>
  <c r="AH159"/>
  <c r="AH160"/>
  <c r="AF168"/>
  <c r="AC149"/>
  <c r="AC150"/>
  <c r="AA178"/>
  <c r="AA177"/>
  <c r="AA41"/>
  <c r="AK168"/>
  <c r="AK170"/>
  <c r="AK171"/>
  <c r="AA172"/>
  <c r="AA32"/>
  <c r="AI178"/>
  <c r="AI41"/>
  <c r="AI177"/>
  <c r="AD172"/>
  <c r="AD32"/>
  <c r="AB175"/>
  <c r="Y174"/>
  <c r="W43"/>
  <c r="W176" s="1"/>
  <c r="U159"/>
  <c r="U160"/>
  <c r="O175"/>
  <c r="M174"/>
  <c r="AD157"/>
  <c r="T169"/>
  <c r="AI162"/>
  <c r="O144"/>
  <c r="P152"/>
  <c r="AJ164"/>
  <c r="AJ240"/>
  <c r="W175"/>
  <c r="AG143"/>
  <c r="AG144"/>
  <c r="P178"/>
  <c r="M139"/>
  <c r="M138"/>
  <c r="M234"/>
  <c r="M233"/>
  <c r="M137"/>
  <c r="Q135"/>
  <c r="Q185"/>
  <c r="Q51"/>
  <c r="Q136"/>
  <c r="Q232"/>
  <c r="Q10"/>
  <c r="Q125"/>
  <c r="AE139"/>
  <c r="AE138"/>
  <c r="AE234"/>
  <c r="AE137"/>
  <c r="AE233"/>
  <c r="Q150"/>
  <c r="Q149"/>
  <c r="U158"/>
  <c r="K133"/>
  <c r="K163"/>
  <c r="V138"/>
  <c r="S32"/>
  <c r="T159"/>
  <c r="AL152"/>
  <c r="AI144"/>
  <c r="AF41"/>
  <c r="AF177"/>
  <c r="AC68"/>
  <c r="AL174"/>
  <c r="AK174"/>
  <c r="AI68"/>
  <c r="AG152"/>
  <c r="AE161"/>
  <c r="AE182"/>
  <c r="AI148"/>
  <c r="AI147"/>
  <c r="AC241"/>
  <c r="AC238"/>
  <c r="AC163"/>
  <c r="AC167"/>
  <c r="AC165"/>
  <c r="AC166"/>
  <c r="AC239"/>
  <c r="AC164"/>
  <c r="AB68"/>
  <c r="AD162"/>
  <c r="AA148"/>
  <c r="AH10"/>
  <c r="AH232"/>
  <c r="AE163"/>
  <c r="AE241"/>
  <c r="AE165"/>
  <c r="AE21"/>
  <c r="AE238"/>
  <c r="AE186"/>
  <c r="AE164"/>
  <c r="AE167"/>
  <c r="AB138"/>
  <c r="AB139"/>
  <c r="AB234"/>
  <c r="AB233"/>
  <c r="AB137"/>
  <c r="X168"/>
  <c r="V43"/>
  <c r="V176" s="1"/>
  <c r="T233"/>
  <c r="T139"/>
  <c r="T234"/>
  <c r="T137"/>
  <c r="S134"/>
  <c r="AA146"/>
  <c r="Z154"/>
  <c r="Y168"/>
  <c r="Y169"/>
  <c r="Y170"/>
  <c r="Y171"/>
  <c r="W158"/>
  <c r="AH156"/>
  <c r="AG142"/>
  <c r="AG141"/>
  <c r="AF43"/>
  <c r="AF176" s="1"/>
  <c r="Z234"/>
  <c r="Z145"/>
  <c r="Y51"/>
  <c r="Y10"/>
  <c r="Y125"/>
  <c r="Y232"/>
  <c r="Y185"/>
  <c r="Y136"/>
  <c r="V154"/>
  <c r="U145"/>
  <c r="AL148"/>
  <c r="AH173"/>
  <c r="AD154"/>
  <c r="AA175"/>
  <c r="Z142"/>
  <c r="Z141"/>
  <c r="W173"/>
  <c r="U177"/>
  <c r="Z43"/>
  <c r="Z176" s="1"/>
  <c r="Q147"/>
  <c r="Q148"/>
  <c r="K173"/>
  <c r="M160"/>
  <c r="M159"/>
  <c r="AE174"/>
  <c r="Z158"/>
  <c r="Y177"/>
  <c r="Y41"/>
  <c r="U174"/>
  <c r="R178"/>
  <c r="O133"/>
  <c r="N162"/>
  <c r="AL159"/>
  <c r="AL160"/>
  <c r="AH151"/>
  <c r="AE146"/>
  <c r="Y150"/>
  <c r="Y149"/>
  <c r="V32"/>
  <c r="V172"/>
  <c r="R141"/>
  <c r="R142"/>
  <c r="S152"/>
  <c r="Q141"/>
  <c r="Q142"/>
  <c r="P68"/>
  <c r="L144"/>
  <c r="K68"/>
  <c r="J51"/>
  <c r="J241"/>
  <c r="AG154"/>
  <c r="P43"/>
  <c r="P176" s="1"/>
  <c r="L32"/>
  <c r="J150"/>
  <c r="I139"/>
  <c r="I234"/>
  <c r="I233"/>
  <c r="I138"/>
  <c r="I137"/>
  <c r="X138"/>
  <c r="X139"/>
  <c r="X233"/>
  <c r="X234"/>
  <c r="X137"/>
  <c r="S151"/>
  <c r="M146"/>
  <c r="K177"/>
  <c r="K41"/>
  <c r="K178"/>
  <c r="Y143"/>
  <c r="M239"/>
  <c r="M167"/>
  <c r="M238"/>
  <c r="M241"/>
  <c r="M166"/>
  <c r="M164"/>
  <c r="M165"/>
  <c r="F189"/>
  <c r="AL167"/>
  <c r="AF134"/>
  <c r="Q153"/>
  <c r="K148"/>
  <c r="K147"/>
  <c r="S136"/>
  <c r="S143"/>
  <c r="Z174"/>
  <c r="M151"/>
  <c r="Y43"/>
  <c r="Y176"/>
  <c r="AJ51"/>
  <c r="AJ125"/>
  <c r="AJ185"/>
  <c r="AJ136"/>
  <c r="AJ232"/>
  <c r="AJ135"/>
  <c r="U170"/>
  <c r="U169"/>
  <c r="U171"/>
  <c r="U168"/>
  <c r="Q133"/>
  <c r="L175"/>
  <c r="H68"/>
  <c r="O156"/>
  <c r="K151"/>
  <c r="Z175"/>
  <c r="M157"/>
  <c r="R43"/>
  <c r="R176" s="1"/>
  <c r="AL168"/>
  <c r="AL170"/>
  <c r="AL171"/>
  <c r="X173"/>
  <c r="AK152"/>
  <c r="AF142"/>
  <c r="AF141"/>
  <c r="AE43"/>
  <c r="AE176" s="1"/>
  <c r="AJ234"/>
  <c r="AJ139"/>
  <c r="AJ137"/>
  <c r="AG43"/>
  <c r="AG176"/>
  <c r="AI172"/>
  <c r="AI32"/>
  <c r="Z146"/>
  <c r="W137"/>
  <c r="W139"/>
  <c r="W138"/>
  <c r="W234"/>
  <c r="W233"/>
  <c r="T158"/>
  <c r="V152"/>
  <c r="Q137"/>
  <c r="Q234"/>
  <c r="Q138"/>
  <c r="Q139"/>
  <c r="Q233"/>
  <c r="N68"/>
  <c r="M232"/>
  <c r="M185"/>
  <c r="M51"/>
  <c r="M136"/>
  <c r="M10"/>
  <c r="M135"/>
  <c r="I149"/>
  <c r="I150"/>
  <c r="AA239"/>
  <c r="AA165"/>
  <c r="AA164"/>
  <c r="AA186"/>
  <c r="AA238"/>
  <c r="AA167"/>
  <c r="AA163"/>
  <c r="AA166"/>
  <c r="AA21"/>
  <c r="L156"/>
  <c r="I156"/>
  <c r="K138"/>
  <c r="K137"/>
  <c r="K234"/>
  <c r="K139"/>
  <c r="R177"/>
  <c r="R41"/>
  <c r="L10"/>
  <c r="L51"/>
  <c r="L185"/>
  <c r="L232"/>
  <c r="L135"/>
  <c r="L136"/>
  <c r="L125"/>
  <c r="I189"/>
  <c r="AJ157"/>
  <c r="AI158"/>
  <c r="AI241"/>
  <c r="AI164"/>
  <c r="AI163"/>
  <c r="AI239"/>
  <c r="AI186"/>
  <c r="AI21"/>
  <c r="AI238"/>
  <c r="AI165"/>
  <c r="AI166"/>
  <c r="AH43"/>
  <c r="AH176" s="1"/>
  <c r="AE134"/>
  <c r="AI232"/>
  <c r="AI125"/>
  <c r="AI136"/>
  <c r="AI10"/>
  <c r="AI51"/>
  <c r="AI185"/>
  <c r="AJ152"/>
  <c r="AL153"/>
  <c r="AH169"/>
  <c r="AC136"/>
  <c r="AC232"/>
  <c r="AC185"/>
  <c r="AC51"/>
  <c r="AC135"/>
  <c r="AL149"/>
  <c r="AL150"/>
  <c r="AD135"/>
  <c r="V185"/>
  <c r="V136"/>
  <c r="V232"/>
  <c r="V125"/>
  <c r="V51"/>
  <c r="V135"/>
  <c r="AL145"/>
  <c r="N174"/>
  <c r="V134"/>
  <c r="M143"/>
  <c r="S182"/>
  <c r="S161"/>
  <c r="R152"/>
  <c r="S163"/>
  <c r="S239"/>
  <c r="M158"/>
  <c r="K161"/>
  <c r="K182"/>
  <c r="H185"/>
  <c r="H10"/>
  <c r="H51"/>
  <c r="H232"/>
  <c r="Y172"/>
  <c r="Y32"/>
  <c r="K238"/>
  <c r="K239"/>
  <c r="K166"/>
  <c r="K164"/>
  <c r="K165"/>
  <c r="R51"/>
  <c r="R136"/>
  <c r="R232"/>
  <c r="K157"/>
  <c r="AK239"/>
  <c r="AK21"/>
  <c r="AK167"/>
  <c r="AK165"/>
  <c r="AK241"/>
  <c r="AK164"/>
  <c r="AK238"/>
  <c r="AK166"/>
  <c r="AK186"/>
  <c r="L239"/>
  <c r="L166"/>
  <c r="L186"/>
  <c r="L21"/>
  <c r="L165"/>
  <c r="L241"/>
  <c r="L238"/>
  <c r="I143"/>
  <c r="K241"/>
  <c r="L163"/>
  <c r="E187"/>
  <c r="V137"/>
  <c r="J163"/>
  <c r="K51"/>
  <c r="S241"/>
  <c r="U234"/>
  <c r="K168"/>
  <c r="R10"/>
  <c r="R212" s="1"/>
  <c r="AK137"/>
  <c r="AK138"/>
  <c r="AK157"/>
  <c r="AL134"/>
  <c r="AK175"/>
  <c r="AI170"/>
  <c r="AI168"/>
  <c r="AI171"/>
  <c r="AI169"/>
  <c r="AK68"/>
  <c r="AD151"/>
  <c r="AH157"/>
  <c r="AH172"/>
  <c r="AH32"/>
  <c r="AF175"/>
  <c r="AC143"/>
  <c r="AC144"/>
  <c r="AA153"/>
  <c r="AK153"/>
  <c r="AH133"/>
  <c r="AB43"/>
  <c r="AB176" s="1"/>
  <c r="AF158"/>
  <c r="AE144"/>
  <c r="AC141"/>
  <c r="AC142"/>
  <c r="AA182"/>
  <c r="AA161"/>
  <c r="AJ149"/>
  <c r="AH171"/>
  <c r="AH170"/>
  <c r="AH168"/>
  <c r="AG157"/>
  <c r="AG172"/>
  <c r="AD182"/>
  <c r="AD161"/>
  <c r="AB144"/>
  <c r="AA134"/>
  <c r="W149"/>
  <c r="W150"/>
  <c r="U232"/>
  <c r="U125"/>
  <c r="U51"/>
  <c r="U136"/>
  <c r="U10"/>
  <c r="U185"/>
  <c r="Q145"/>
  <c r="Z148"/>
  <c r="Y157"/>
  <c r="X145"/>
  <c r="U134"/>
  <c r="T168"/>
  <c r="T171"/>
  <c r="T170"/>
  <c r="V149"/>
  <c r="V150"/>
  <c r="U43"/>
  <c r="U176"/>
  <c r="AL43"/>
  <c r="AL176"/>
  <c r="AE168"/>
  <c r="AB159"/>
  <c r="AA162"/>
  <c r="X150"/>
  <c r="W146"/>
  <c r="V171"/>
  <c r="V170"/>
  <c r="V169"/>
  <c r="V168"/>
  <c r="U32"/>
  <c r="U172"/>
  <c r="AA159"/>
  <c r="Z21"/>
  <c r="Z171"/>
  <c r="Z170"/>
  <c r="Z169"/>
  <c r="Y68"/>
  <c r="K10"/>
  <c r="W232"/>
  <c r="W143"/>
  <c r="Q170"/>
  <c r="Q168"/>
  <c r="Q169"/>
  <c r="Q171"/>
  <c r="P142"/>
  <c r="P141"/>
  <c r="M133"/>
  <c r="Z149"/>
  <c r="Z150"/>
  <c r="S154"/>
  <c r="R153"/>
  <c r="P153"/>
  <c r="P185"/>
  <c r="P10"/>
  <c r="P135"/>
  <c r="P51"/>
  <c r="P136"/>
  <c r="P232"/>
  <c r="P125"/>
  <c r="N160"/>
  <c r="X151"/>
  <c r="W169"/>
  <c r="W171"/>
  <c r="Q151"/>
  <c r="Q134"/>
  <c r="L157"/>
  <c r="Z143"/>
  <c r="Y146"/>
  <c r="W157"/>
  <c r="S145"/>
  <c r="Q173"/>
  <c r="M147"/>
  <c r="J174"/>
  <c r="J133"/>
  <c r="I174"/>
  <c r="Y144"/>
  <c r="R173"/>
  <c r="P161"/>
  <c r="P182"/>
  <c r="J144"/>
  <c r="L134"/>
  <c r="I151"/>
  <c r="I173"/>
  <c r="O162"/>
  <c r="L158"/>
  <c r="F226"/>
  <c r="F228"/>
  <c r="F225"/>
  <c r="F223"/>
  <c r="AE175"/>
  <c r="Y158"/>
  <c r="Q177"/>
  <c r="Q178"/>
  <c r="Q41"/>
  <c r="N125"/>
  <c r="N185"/>
  <c r="N10"/>
  <c r="N136"/>
  <c r="N232"/>
  <c r="N51"/>
  <c r="S139"/>
  <c r="S234"/>
  <c r="S137"/>
  <c r="S233"/>
  <c r="P133"/>
  <c r="J68"/>
  <c r="I170"/>
  <c r="I168"/>
  <c r="I169"/>
  <c r="I171"/>
  <c r="M178"/>
  <c r="Y156"/>
  <c r="P145"/>
  <c r="N177"/>
  <c r="N41"/>
  <c r="J148"/>
  <c r="J147"/>
  <c r="X148"/>
  <c r="K237"/>
  <c r="K236"/>
  <c r="AF237"/>
  <c r="AF236"/>
  <c r="R207"/>
  <c r="AA55"/>
  <c r="AA211"/>
  <c r="AD214"/>
  <c r="AD206"/>
  <c r="AD211"/>
  <c r="AD55"/>
  <c r="AD54"/>
  <c r="AD210"/>
  <c r="L228" i="12"/>
  <c r="L224"/>
  <c r="L226"/>
  <c r="L227"/>
  <c r="L225"/>
  <c r="L223"/>
  <c r="H224"/>
  <c r="H226"/>
  <c r="H228"/>
  <c r="H225"/>
  <c r="H227"/>
  <c r="H223"/>
  <c r="J222"/>
  <c r="J218"/>
  <c r="J221"/>
  <c r="J217"/>
  <c r="J220"/>
  <c r="J219"/>
  <c r="G223"/>
  <c r="G224"/>
  <c r="G226"/>
  <c r="G228"/>
  <c r="G227"/>
  <c r="G225"/>
  <c r="K228"/>
  <c r="K223"/>
  <c r="K226"/>
  <c r="K224"/>
  <c r="K225"/>
  <c r="K227"/>
  <c r="K221"/>
  <c r="K220"/>
  <c r="K222"/>
  <c r="K217"/>
  <c r="K218"/>
  <c r="K219"/>
  <c r="F226"/>
  <c r="F227"/>
  <c r="F228"/>
  <c r="F223"/>
  <c r="F224"/>
  <c r="F225"/>
  <c r="I227"/>
  <c r="I228"/>
  <c r="I224"/>
  <c r="I226"/>
  <c r="I223"/>
  <c r="I225"/>
  <c r="H217"/>
  <c r="H220"/>
  <c r="H221"/>
  <c r="H218"/>
  <c r="H222"/>
  <c r="H219"/>
  <c r="L219"/>
  <c r="L218"/>
  <c r="L222"/>
  <c r="L217"/>
  <c r="L220"/>
  <c r="L221"/>
  <c r="F220"/>
  <c r="F217"/>
  <c r="F221"/>
  <c r="F219"/>
  <c r="F222"/>
  <c r="F218"/>
  <c r="I222"/>
  <c r="I218"/>
  <c r="I217"/>
  <c r="I220"/>
  <c r="I219"/>
  <c r="I221"/>
  <c r="J225"/>
  <c r="J224"/>
  <c r="J226"/>
  <c r="J228"/>
  <c r="J223"/>
  <c r="J227"/>
  <c r="G219"/>
  <c r="G218"/>
  <c r="G222"/>
  <c r="G217"/>
  <c r="G221"/>
  <c r="G220"/>
  <c r="AC237" i="17"/>
  <c r="X31"/>
  <c r="V48"/>
  <c r="W188" s="1"/>
  <c r="V196"/>
  <c r="V211"/>
  <c r="V209"/>
  <c r="V198"/>
  <c r="V55"/>
  <c r="V62"/>
  <c r="V197"/>
  <c r="V208"/>
  <c r="V230"/>
  <c r="V217"/>
  <c r="V60"/>
  <c r="V96"/>
  <c r="W130" s="1"/>
  <c r="V199"/>
  <c r="V57"/>
  <c r="V231"/>
  <c r="V213"/>
  <c r="V210"/>
  <c r="V212"/>
  <c r="V214"/>
  <c r="V207"/>
  <c r="V54"/>
  <c r="V59"/>
  <c r="V61"/>
  <c r="V31"/>
  <c r="V132" s="1"/>
  <c r="V206"/>
  <c r="V204"/>
  <c r="V205"/>
  <c r="T204"/>
  <c r="T207"/>
  <c r="T231"/>
  <c r="T198"/>
  <c r="T211"/>
  <c r="T196"/>
  <c r="T62"/>
  <c r="T96"/>
  <c r="T181"/>
  <c r="T61"/>
  <c r="T55"/>
  <c r="T210"/>
  <c r="T214"/>
  <c r="T54"/>
  <c r="T209"/>
  <c r="T199"/>
  <c r="T205"/>
  <c r="T215"/>
  <c r="T57"/>
  <c r="T212"/>
  <c r="T213"/>
  <c r="T60"/>
  <c r="T197"/>
  <c r="T206"/>
  <c r="T208"/>
  <c r="T230"/>
  <c r="T219" s="1"/>
  <c r="T48"/>
  <c r="T179" s="1"/>
  <c r="S236"/>
  <c r="S31"/>
  <c r="S187"/>
  <c r="R206"/>
  <c r="R197"/>
  <c r="R204"/>
  <c r="M236"/>
  <c r="M127"/>
  <c r="AA96"/>
  <c r="AB189" s="1"/>
  <c r="R198"/>
  <c r="R59"/>
  <c r="R210"/>
  <c r="R215"/>
  <c r="AA209"/>
  <c r="AA59"/>
  <c r="R214"/>
  <c r="R230"/>
  <c r="R222" s="1"/>
  <c r="R209"/>
  <c r="M31"/>
  <c r="M140"/>
  <c r="S127"/>
  <c r="R208"/>
  <c r="X187"/>
  <c r="AA204"/>
  <c r="AA48"/>
  <c r="AA180" s="1"/>
  <c r="R60"/>
  <c r="R96"/>
  <c r="S189" s="1"/>
  <c r="R231"/>
  <c r="R57"/>
  <c r="R127"/>
  <c r="AA231"/>
  <c r="AA215"/>
  <c r="R213"/>
  <c r="R199"/>
  <c r="R55"/>
  <c r="W237"/>
  <c r="AA213"/>
  <c r="AA214"/>
  <c r="R211"/>
  <c r="R31"/>
  <c r="R140" s="1"/>
  <c r="R61"/>
  <c r="R48"/>
  <c r="S188" s="1"/>
  <c r="R62"/>
  <c r="AA210"/>
  <c r="AA198"/>
  <c r="R196"/>
  <c r="AA31"/>
  <c r="AA132"/>
  <c r="R54"/>
  <c r="R205"/>
  <c r="AD196"/>
  <c r="AD197"/>
  <c r="AD199"/>
  <c r="AD57"/>
  <c r="AD209"/>
  <c r="AD198"/>
  <c r="V127"/>
  <c r="X127"/>
  <c r="AD48"/>
  <c r="AD180" s="1"/>
  <c r="AD127"/>
  <c r="AD230"/>
  <c r="AD60"/>
  <c r="AD96"/>
  <c r="AD181"/>
  <c r="AD208"/>
  <c r="AA187"/>
  <c r="T31"/>
  <c r="T132"/>
  <c r="Z127"/>
  <c r="AD62"/>
  <c r="P127"/>
  <c r="AD204"/>
  <c r="R187"/>
  <c r="AD231"/>
  <c r="AD187"/>
  <c r="AD61"/>
  <c r="AD215"/>
  <c r="V187"/>
  <c r="Q127"/>
  <c r="W31"/>
  <c r="AD207"/>
  <c r="AD212"/>
  <c r="AD205"/>
  <c r="AD59"/>
  <c r="M187"/>
  <c r="J31"/>
  <c r="AE237"/>
  <c r="AE236"/>
  <c r="AF198"/>
  <c r="AF206"/>
  <c r="AF207"/>
  <c r="AF230"/>
  <c r="AF48"/>
  <c r="AF199"/>
  <c r="AF205"/>
  <c r="AF197"/>
  <c r="AF208"/>
  <c r="AF210"/>
  <c r="AF215"/>
  <c r="AF96"/>
  <c r="AF55"/>
  <c r="AF196"/>
  <c r="AF54"/>
  <c r="AF204"/>
  <c r="AF231"/>
  <c r="AF61"/>
  <c r="AF209"/>
  <c r="AF60"/>
  <c r="AF214"/>
  <c r="AF57"/>
  <c r="AF62"/>
  <c r="AF59"/>
  <c r="AF212"/>
  <c r="AF213"/>
  <c r="AF211"/>
  <c r="T187"/>
  <c r="X237"/>
  <c r="AH236"/>
  <c r="AH237"/>
  <c r="U237"/>
  <c r="U236"/>
  <c r="AG31"/>
  <c r="AG236"/>
  <c r="AG237"/>
  <c r="J187"/>
  <c r="AA61"/>
  <c r="AA208"/>
  <c r="AA205"/>
  <c r="AA54"/>
  <c r="AF187"/>
  <c r="Z237"/>
  <c r="Z236"/>
  <c r="H230"/>
  <c r="H208"/>
  <c r="H57"/>
  <c r="H54"/>
  <c r="H215"/>
  <c r="H236"/>
  <c r="H213"/>
  <c r="H187"/>
  <c r="H212"/>
  <c r="H231"/>
  <c r="H205" s="1"/>
  <c r="H206"/>
  <c r="H31"/>
  <c r="H214"/>
  <c r="H55"/>
  <c r="H204"/>
  <c r="H207"/>
  <c r="H237"/>
  <c r="H211"/>
  <c r="M210"/>
  <c r="M209"/>
  <c r="M196"/>
  <c r="M231"/>
  <c r="M204"/>
  <c r="M198"/>
  <c r="M61"/>
  <c r="M199"/>
  <c r="M57"/>
  <c r="M214"/>
  <c r="M197"/>
  <c r="M205"/>
  <c r="M206"/>
  <c r="M211"/>
  <c r="M215"/>
  <c r="M96"/>
  <c r="M212"/>
  <c r="M48"/>
  <c r="M60"/>
  <c r="M62"/>
  <c r="M59"/>
  <c r="M208"/>
  <c r="M54"/>
  <c r="M213"/>
  <c r="M230"/>
  <c r="M207"/>
  <c r="M55"/>
  <c r="Q236"/>
  <c r="Q237"/>
  <c r="N187"/>
  <c r="N237"/>
  <c r="N236"/>
  <c r="AG205"/>
  <c r="AG60"/>
  <c r="AG48"/>
  <c r="AG207"/>
  <c r="AG208"/>
  <c r="AG55"/>
  <c r="AG54"/>
  <c r="AG196"/>
  <c r="AG57"/>
  <c r="AG199"/>
  <c r="AG210"/>
  <c r="AG215"/>
  <c r="AG59"/>
  <c r="AG231"/>
  <c r="AG212"/>
  <c r="AG209"/>
  <c r="AG230"/>
  <c r="AG61"/>
  <c r="AG198"/>
  <c r="AG204"/>
  <c r="AG206"/>
  <c r="AG62"/>
  <c r="AG96"/>
  <c r="AG211"/>
  <c r="AG214"/>
  <c r="AG213"/>
  <c r="AG197"/>
  <c r="AG187"/>
  <c r="N198"/>
  <c r="N197"/>
  <c r="N55"/>
  <c r="N208"/>
  <c r="N199"/>
  <c r="N96"/>
  <c r="N212"/>
  <c r="N206"/>
  <c r="N213"/>
  <c r="N54"/>
  <c r="N209"/>
  <c r="N210"/>
  <c r="N57"/>
  <c r="N230"/>
  <c r="N48"/>
  <c r="N196"/>
  <c r="N231"/>
  <c r="N31"/>
  <c r="N214"/>
  <c r="N211"/>
  <c r="N207"/>
  <c r="N60"/>
  <c r="N205"/>
  <c r="N59"/>
  <c r="N62"/>
  <c r="N215"/>
  <c r="N61"/>
  <c r="N204"/>
  <c r="N127"/>
  <c r="AK236"/>
  <c r="AK237"/>
  <c r="K231"/>
  <c r="J236"/>
  <c r="K210"/>
  <c r="J58"/>
  <c r="I58"/>
  <c r="K57"/>
  <c r="K215"/>
  <c r="K212"/>
  <c r="K54"/>
  <c r="K206"/>
  <c r="I96"/>
  <c r="J96" s="1"/>
  <c r="K55"/>
  <c r="K230"/>
  <c r="J230"/>
  <c r="K204"/>
  <c r="K213"/>
  <c r="K207"/>
  <c r="I48"/>
  <c r="J48"/>
  <c r="K48" s="1"/>
  <c r="J231"/>
  <c r="K205" s="1"/>
  <c r="K127"/>
  <c r="K187"/>
  <c r="K208"/>
  <c r="K58"/>
  <c r="I236"/>
  <c r="J223" s="1"/>
  <c r="AA57"/>
  <c r="AA230"/>
  <c r="AA222"/>
  <c r="AA197"/>
  <c r="K31"/>
  <c r="K131" s="1"/>
  <c r="L236"/>
  <c r="L210" s="1"/>
  <c r="L237"/>
  <c r="AI215"/>
  <c r="AI207"/>
  <c r="AI199"/>
  <c r="AI187"/>
  <c r="AI54"/>
  <c r="AI204"/>
  <c r="AI213"/>
  <c r="AI212"/>
  <c r="AI31"/>
  <c r="AI96"/>
  <c r="AI214"/>
  <c r="AI205"/>
  <c r="AI230"/>
  <c r="AI61"/>
  <c r="AI211"/>
  <c r="AI208"/>
  <c r="AI198"/>
  <c r="AI196"/>
  <c r="AI57"/>
  <c r="AI197"/>
  <c r="AI55"/>
  <c r="AI48"/>
  <c r="AI209"/>
  <c r="AI206"/>
  <c r="AI231"/>
  <c r="AI62"/>
  <c r="AI210"/>
  <c r="AI60"/>
  <c r="AI59"/>
  <c r="AJ236"/>
  <c r="AJ237"/>
  <c r="F221"/>
  <c r="F219"/>
  <c r="F217"/>
  <c r="F218"/>
  <c r="Z31"/>
  <c r="Z55"/>
  <c r="Z48"/>
  <c r="Z59"/>
  <c r="Z57"/>
  <c r="Z197"/>
  <c r="Z231"/>
  <c r="Z209"/>
  <c r="Z210"/>
  <c r="Z214"/>
  <c r="Z187"/>
  <c r="Z204"/>
  <c r="Z213"/>
  <c r="Z215"/>
  <c r="Z54"/>
  <c r="Z207"/>
  <c r="Z60"/>
  <c r="Z205"/>
  <c r="Z61"/>
  <c r="Z230"/>
  <c r="Z212"/>
  <c r="Z211"/>
  <c r="Z206"/>
  <c r="Z96"/>
  <c r="Z62"/>
  <c r="Z196"/>
  <c r="Z199"/>
  <c r="Z198"/>
  <c r="Z208"/>
  <c r="I237"/>
  <c r="I187"/>
  <c r="I54"/>
  <c r="I206"/>
  <c r="I57"/>
  <c r="I230"/>
  <c r="I55"/>
  <c r="I231"/>
  <c r="J205" s="1"/>
  <c r="I212"/>
  <c r="I204"/>
  <c r="I208"/>
  <c r="I130"/>
  <c r="I211"/>
  <c r="I213"/>
  <c r="I215"/>
  <c r="I207"/>
  <c r="I127"/>
  <c r="I31"/>
  <c r="I205"/>
  <c r="AB127"/>
  <c r="AI236"/>
  <c r="AI237"/>
  <c r="O237"/>
  <c r="O236"/>
  <c r="AE127"/>
  <c r="G217"/>
  <c r="G219"/>
  <c r="G218"/>
  <c r="G221"/>
  <c r="Y211"/>
  <c r="Y61"/>
  <c r="Y209"/>
  <c r="Y48"/>
  <c r="Y62"/>
  <c r="Y55"/>
  <c r="Y206"/>
  <c r="Y212"/>
  <c r="Y96"/>
  <c r="Y213"/>
  <c r="Y204"/>
  <c r="Y207"/>
  <c r="Y214"/>
  <c r="Y59"/>
  <c r="Y198"/>
  <c r="Y215"/>
  <c r="Y210"/>
  <c r="Y205"/>
  <c r="Y54"/>
  <c r="Y57"/>
  <c r="Y197"/>
  <c r="Y230"/>
  <c r="Y127"/>
  <c r="Y187"/>
  <c r="Y208"/>
  <c r="Y231"/>
  <c r="Y196"/>
  <c r="Y199"/>
  <c r="Y31"/>
  <c r="Y60"/>
  <c r="Q31"/>
  <c r="Q55"/>
  <c r="Q230"/>
  <c r="Q212"/>
  <c r="Q197"/>
  <c r="Q196"/>
  <c r="Q59"/>
  <c r="Q48"/>
  <c r="Q215"/>
  <c r="Q211"/>
  <c r="Q61"/>
  <c r="Q96"/>
  <c r="Q205"/>
  <c r="Q206"/>
  <c r="Q207"/>
  <c r="Q231"/>
  <c r="Q187"/>
  <c r="Q198"/>
  <c r="Q199"/>
  <c r="Q208"/>
  <c r="Q204"/>
  <c r="Q213"/>
  <c r="Q57"/>
  <c r="Q54"/>
  <c r="Q62"/>
  <c r="Q210"/>
  <c r="Q209"/>
  <c r="Q214"/>
  <c r="Q60"/>
  <c r="Y236"/>
  <c r="Y237"/>
  <c r="P236"/>
  <c r="P237"/>
  <c r="AA62"/>
  <c r="AA207"/>
  <c r="AA196"/>
  <c r="AA206"/>
  <c r="U96"/>
  <c r="U62"/>
  <c r="U199"/>
  <c r="U205"/>
  <c r="U61"/>
  <c r="U197"/>
  <c r="U213"/>
  <c r="U57"/>
  <c r="U214"/>
  <c r="U60"/>
  <c r="U211"/>
  <c r="U207"/>
  <c r="U198"/>
  <c r="U31"/>
  <c r="U54"/>
  <c r="U48"/>
  <c r="U210"/>
  <c r="U204"/>
  <c r="U55"/>
  <c r="U215"/>
  <c r="U209"/>
  <c r="U59"/>
  <c r="U212"/>
  <c r="U196"/>
  <c r="U208"/>
  <c r="U187"/>
  <c r="U231"/>
  <c r="U230"/>
  <c r="U206"/>
  <c r="AA237"/>
  <c r="AA236"/>
  <c r="AH187"/>
  <c r="AH230"/>
  <c r="AH199"/>
  <c r="AH214"/>
  <c r="AH206"/>
  <c r="AH215"/>
  <c r="AH61"/>
  <c r="AH31"/>
  <c r="AH212"/>
  <c r="AH196"/>
  <c r="AH207"/>
  <c r="AH211"/>
  <c r="AH210"/>
  <c r="AH54"/>
  <c r="AH59"/>
  <c r="AH62"/>
  <c r="AH96"/>
  <c r="AH213"/>
  <c r="AH57"/>
  <c r="AH197"/>
  <c r="AH48"/>
  <c r="AH205"/>
  <c r="AH204"/>
  <c r="AH208"/>
  <c r="AH231"/>
  <c r="AH209"/>
  <c r="AH198"/>
  <c r="AH60"/>
  <c r="AH55"/>
  <c r="R236"/>
  <c r="R237"/>
  <c r="AE31"/>
  <c r="AE208"/>
  <c r="AE230"/>
  <c r="AE199"/>
  <c r="AE214"/>
  <c r="AE210"/>
  <c r="AE197"/>
  <c r="AE60"/>
  <c r="AE212"/>
  <c r="AE55"/>
  <c r="AE96"/>
  <c r="AE213"/>
  <c r="AE206"/>
  <c r="AE48"/>
  <c r="AE198"/>
  <c r="AE211"/>
  <c r="AE204"/>
  <c r="AE61"/>
  <c r="AE62"/>
  <c r="AE231"/>
  <c r="AE54"/>
  <c r="AE59"/>
  <c r="AE196"/>
  <c r="AE207"/>
  <c r="AE205"/>
  <c r="AE215"/>
  <c r="AE57"/>
  <c r="AE187"/>
  <c r="AE209"/>
  <c r="AB237"/>
  <c r="AB236"/>
  <c r="J215"/>
  <c r="J57"/>
  <c r="J55"/>
  <c r="J212"/>
  <c r="J204"/>
  <c r="J208"/>
  <c r="J210"/>
  <c r="J207"/>
  <c r="J54"/>
  <c r="J213"/>
  <c r="J206"/>
  <c r="S204"/>
  <c r="S230"/>
  <c r="S198"/>
  <c r="S196"/>
  <c r="S54"/>
  <c r="S199"/>
  <c r="S213"/>
  <c r="S205"/>
  <c r="S197"/>
  <c r="S212"/>
  <c r="S207"/>
  <c r="S59"/>
  <c r="S215"/>
  <c r="S210"/>
  <c r="S57"/>
  <c r="S55"/>
  <c r="S231"/>
  <c r="S209"/>
  <c r="S214"/>
  <c r="S211"/>
  <c r="S96"/>
  <c r="S48"/>
  <c r="T128" s="1"/>
  <c r="S206"/>
  <c r="S61"/>
  <c r="S62"/>
  <c r="S60"/>
  <c r="S208"/>
  <c r="V237"/>
  <c r="V236"/>
  <c r="T237"/>
  <c r="T236"/>
  <c r="AF31"/>
  <c r="AF140" s="1"/>
  <c r="L60"/>
  <c r="L54"/>
  <c r="L198" s="1"/>
  <c r="L31"/>
  <c r="L207"/>
  <c r="L211"/>
  <c r="L59"/>
  <c r="L231"/>
  <c r="L57"/>
  <c r="L55"/>
  <c r="L230"/>
  <c r="L206"/>
  <c r="L205"/>
  <c r="L212"/>
  <c r="L187"/>
  <c r="L208"/>
  <c r="L213"/>
  <c r="L127"/>
  <c r="L215"/>
  <c r="T127"/>
  <c r="AH127"/>
  <c r="AL205"/>
  <c r="AL61"/>
  <c r="AL59"/>
  <c r="AL197"/>
  <c r="AL211"/>
  <c r="AL96"/>
  <c r="AL31"/>
  <c r="AL127"/>
  <c r="AL209"/>
  <c r="AL48"/>
  <c r="AL204"/>
  <c r="AL196"/>
  <c r="AL231"/>
  <c r="AL60"/>
  <c r="AL62"/>
  <c r="AL57"/>
  <c r="AL207"/>
  <c r="AL214"/>
  <c r="AL215"/>
  <c r="AL55"/>
  <c r="AL206"/>
  <c r="AL199"/>
  <c r="AL208"/>
  <c r="AL213"/>
  <c r="AL230"/>
  <c r="AL198"/>
  <c r="AL212"/>
  <c r="AL210"/>
  <c r="AL187"/>
  <c r="AL54"/>
  <c r="W205"/>
  <c r="W230"/>
  <c r="W206"/>
  <c r="W213"/>
  <c r="W198"/>
  <c r="W211"/>
  <c r="W212"/>
  <c r="W59"/>
  <c r="W55"/>
  <c r="W214"/>
  <c r="W204"/>
  <c r="W54"/>
  <c r="W199"/>
  <c r="W61"/>
  <c r="W215"/>
  <c r="W197"/>
  <c r="W209"/>
  <c r="W196"/>
  <c r="W207"/>
  <c r="W60"/>
  <c r="W210"/>
  <c r="W57"/>
  <c r="W48"/>
  <c r="W96"/>
  <c r="W231"/>
  <c r="W208"/>
  <c r="W62"/>
  <c r="AD237"/>
  <c r="AD236"/>
  <c r="W127"/>
  <c r="AD31"/>
  <c r="AD140" s="1"/>
  <c r="AA199"/>
  <c r="AA212"/>
  <c r="AA127"/>
  <c r="J127"/>
  <c r="W187"/>
  <c r="P198"/>
  <c r="P206"/>
  <c r="P60"/>
  <c r="P57"/>
  <c r="P199"/>
  <c r="P211"/>
  <c r="P207"/>
  <c r="P59"/>
  <c r="P54"/>
  <c r="P215"/>
  <c r="P204"/>
  <c r="P208"/>
  <c r="P205"/>
  <c r="P212"/>
  <c r="P96"/>
  <c r="P197"/>
  <c r="P213"/>
  <c r="P48"/>
  <c r="P180" s="1"/>
  <c r="P61"/>
  <c r="P55"/>
  <c r="P230"/>
  <c r="P31"/>
  <c r="P187"/>
  <c r="P209"/>
  <c r="P196"/>
  <c r="P210"/>
  <c r="P62"/>
  <c r="P214"/>
  <c r="P231"/>
  <c r="AI127"/>
  <c r="X205"/>
  <c r="X61"/>
  <c r="X196"/>
  <c r="X197"/>
  <c r="X212"/>
  <c r="X57"/>
  <c r="X208"/>
  <c r="X96"/>
  <c r="X206"/>
  <c r="X59"/>
  <c r="X214"/>
  <c r="X211"/>
  <c r="X210"/>
  <c r="X55"/>
  <c r="X213"/>
  <c r="X48"/>
  <c r="X209"/>
  <c r="X207"/>
  <c r="X204"/>
  <c r="X231"/>
  <c r="X60"/>
  <c r="X199"/>
  <c r="X230"/>
  <c r="X62"/>
  <c r="X215"/>
  <c r="X198"/>
  <c r="X54"/>
  <c r="AK206"/>
  <c r="AK211"/>
  <c r="AK208"/>
  <c r="AK199"/>
  <c r="AK212"/>
  <c r="AK61"/>
  <c r="AK57"/>
  <c r="AK62"/>
  <c r="AK55"/>
  <c r="AK210"/>
  <c r="AK215"/>
  <c r="AK204"/>
  <c r="AK31"/>
  <c r="AK198"/>
  <c r="AK205"/>
  <c r="AK60"/>
  <c r="AK207"/>
  <c r="AK230"/>
  <c r="AK218" s="1"/>
  <c r="AK196"/>
  <c r="AK209"/>
  <c r="AK96"/>
  <c r="AK214"/>
  <c r="AK213"/>
  <c r="AK54"/>
  <c r="AK187"/>
  <c r="AK231"/>
  <c r="AK48"/>
  <c r="AK59"/>
  <c r="AK197"/>
  <c r="O31"/>
  <c r="O60"/>
  <c r="O214"/>
  <c r="O196"/>
  <c r="O211"/>
  <c r="O96"/>
  <c r="O62"/>
  <c r="O198"/>
  <c r="O231"/>
  <c r="O213"/>
  <c r="O212"/>
  <c r="O48"/>
  <c r="O128" s="1"/>
  <c r="O207"/>
  <c r="O210"/>
  <c r="O199"/>
  <c r="O215"/>
  <c r="O208"/>
  <c r="O187"/>
  <c r="O59"/>
  <c r="O197"/>
  <c r="O61"/>
  <c r="O209"/>
  <c r="O127"/>
  <c r="O55"/>
  <c r="O205"/>
  <c r="O57"/>
  <c r="O54"/>
  <c r="O206"/>
  <c r="O204"/>
  <c r="O230"/>
  <c r="U127"/>
  <c r="AL237"/>
  <c r="AL236"/>
  <c r="AF127"/>
  <c r="AB62"/>
  <c r="AB48"/>
  <c r="AB208"/>
  <c r="AB61"/>
  <c r="AB196"/>
  <c r="AB55"/>
  <c r="AB205"/>
  <c r="AB59"/>
  <c r="AB187"/>
  <c r="AB57"/>
  <c r="AB31"/>
  <c r="AB96"/>
  <c r="AC189" s="1"/>
  <c r="AB209"/>
  <c r="AB60"/>
  <c r="AB211"/>
  <c r="AB210"/>
  <c r="AB230"/>
  <c r="AB206"/>
  <c r="AB212"/>
  <c r="AB199"/>
  <c r="AB198"/>
  <c r="AB204"/>
  <c r="AB215"/>
  <c r="AB231"/>
  <c r="AB54"/>
  <c r="AB214"/>
  <c r="AB207"/>
  <c r="AB213"/>
  <c r="AB197"/>
  <c r="S140"/>
  <c r="S131"/>
  <c r="S132"/>
  <c r="V180"/>
  <c r="W225"/>
  <c r="W226"/>
  <c r="W228"/>
  <c r="W227"/>
  <c r="W224"/>
  <c r="W223"/>
  <c r="W140"/>
  <c r="W131"/>
  <c r="W132"/>
  <c r="K225"/>
  <c r="K223"/>
  <c r="K228"/>
  <c r="K226"/>
  <c r="S227"/>
  <c r="S228"/>
  <c r="S224"/>
  <c r="S225"/>
  <c r="S223"/>
  <c r="S226"/>
  <c r="V140"/>
  <c r="AD221"/>
  <c r="AD222"/>
  <c r="AD217"/>
  <c r="AD220"/>
  <c r="AD218"/>
  <c r="AD219"/>
  <c r="AA140"/>
  <c r="AA131"/>
  <c r="V218"/>
  <c r="V222"/>
  <c r="M226"/>
  <c r="M224"/>
  <c r="M223"/>
  <c r="M225"/>
  <c r="M227"/>
  <c r="M228"/>
  <c r="T218"/>
  <c r="R132"/>
  <c r="AF223"/>
  <c r="AF225"/>
  <c r="AF224"/>
  <c r="AF227"/>
  <c r="AF228"/>
  <c r="AF226"/>
  <c r="X131"/>
  <c r="X132"/>
  <c r="X140"/>
  <c r="AC225"/>
  <c r="AC228"/>
  <c r="AC224"/>
  <c r="AC226"/>
  <c r="AC227"/>
  <c r="AC223"/>
  <c r="AF132"/>
  <c r="AD132"/>
  <c r="V179"/>
  <c r="V155"/>
  <c r="V181"/>
  <c r="W189"/>
  <c r="V131"/>
  <c r="V219"/>
  <c r="V220"/>
  <c r="V221"/>
  <c r="T155"/>
  <c r="U189"/>
  <c r="U130"/>
  <c r="T220"/>
  <c r="T180"/>
  <c r="U188"/>
  <c r="U128"/>
  <c r="T217"/>
  <c r="T222"/>
  <c r="T221"/>
  <c r="R221"/>
  <c r="R131"/>
  <c r="R217"/>
  <c r="R218"/>
  <c r="R219"/>
  <c r="R220"/>
  <c r="AB130"/>
  <c r="AD155"/>
  <c r="AE130"/>
  <c r="AE189"/>
  <c r="AA181"/>
  <c r="AA155"/>
  <c r="AA179"/>
  <c r="AB188"/>
  <c r="R128"/>
  <c r="M131"/>
  <c r="AA128"/>
  <c r="K140"/>
  <c r="J226"/>
  <c r="R180"/>
  <c r="R179"/>
  <c r="S130"/>
  <c r="R155"/>
  <c r="S128"/>
  <c r="R181"/>
  <c r="M132"/>
  <c r="AD179"/>
  <c r="AE188"/>
  <c r="AE128"/>
  <c r="K132"/>
  <c r="V128"/>
  <c r="J140"/>
  <c r="J132"/>
  <c r="J131"/>
  <c r="T140"/>
  <c r="T131"/>
  <c r="W180"/>
  <c r="W179"/>
  <c r="X128"/>
  <c r="X188"/>
  <c r="J181"/>
  <c r="K189"/>
  <c r="Z131"/>
  <c r="Z132"/>
  <c r="Z140"/>
  <c r="O188"/>
  <c r="N179"/>
  <c r="N180"/>
  <c r="AG179"/>
  <c r="AH188"/>
  <c r="AH128"/>
  <c r="AG180"/>
  <c r="AK219"/>
  <c r="AK220"/>
  <c r="AK217"/>
  <c r="Y220"/>
  <c r="Y221"/>
  <c r="Y219"/>
  <c r="Y222"/>
  <c r="Y218"/>
  <c r="Y217"/>
  <c r="Q223"/>
  <c r="Q226"/>
  <c r="Q224"/>
  <c r="Q227"/>
  <c r="Q225"/>
  <c r="Q228"/>
  <c r="AG140"/>
  <c r="AG131"/>
  <c r="AG132"/>
  <c r="AA218"/>
  <c r="AD227"/>
  <c r="AD225"/>
  <c r="AD223"/>
  <c r="AD224"/>
  <c r="AD228"/>
  <c r="AD226"/>
  <c r="AI225"/>
  <c r="AI223"/>
  <c r="AI224"/>
  <c r="AI226"/>
  <c r="AI228"/>
  <c r="AI227"/>
  <c r="AG130"/>
  <c r="AF155"/>
  <c r="AG189"/>
  <c r="AF181"/>
  <c r="AB179"/>
  <c r="AC188"/>
  <c r="AB180"/>
  <c r="O131"/>
  <c r="O132"/>
  <c r="O140"/>
  <c r="L217"/>
  <c r="L220"/>
  <c r="L221"/>
  <c r="L219"/>
  <c r="L218"/>
  <c r="AD131"/>
  <c r="J221"/>
  <c r="J219"/>
  <c r="J218"/>
  <c r="J220"/>
  <c r="J217"/>
  <c r="AE219"/>
  <c r="AE217"/>
  <c r="AE222"/>
  <c r="AE220"/>
  <c r="AE218"/>
  <c r="AE221"/>
  <c r="J228"/>
  <c r="AA220"/>
  <c r="O220"/>
  <c r="O218"/>
  <c r="O222"/>
  <c r="O219"/>
  <c r="O221"/>
  <c r="O217"/>
  <c r="P179"/>
  <c r="Q188"/>
  <c r="AL140"/>
  <c r="AL132"/>
  <c r="AL131"/>
  <c r="T188"/>
  <c r="S179"/>
  <c r="S180"/>
  <c r="AH132"/>
  <c r="AH131"/>
  <c r="AH140"/>
  <c r="Q219"/>
  <c r="Q218"/>
  <c r="Q217"/>
  <c r="Q221"/>
  <c r="Q222"/>
  <c r="Q220"/>
  <c r="AI218"/>
  <c r="AI217"/>
  <c r="AI221"/>
  <c r="AI219"/>
  <c r="AI222"/>
  <c r="AI220"/>
  <c r="N131"/>
  <c r="N132"/>
  <c r="N140"/>
  <c r="M180"/>
  <c r="N128"/>
  <c r="N188"/>
  <c r="M179"/>
  <c r="AB181"/>
  <c r="AC130"/>
  <c r="P188"/>
  <c r="O180"/>
  <c r="AH180"/>
  <c r="AH179"/>
  <c r="AI188"/>
  <c r="AI128"/>
  <c r="J130"/>
  <c r="I155"/>
  <c r="J189"/>
  <c r="I181"/>
  <c r="Z227"/>
  <c r="Z228"/>
  <c r="Z224"/>
  <c r="Z223"/>
  <c r="Z225"/>
  <c r="Z226"/>
  <c r="AG223"/>
  <c r="AG227"/>
  <c r="AG228"/>
  <c r="AG225"/>
  <c r="AG226"/>
  <c r="AG224"/>
  <c r="U227"/>
  <c r="U226"/>
  <c r="U223"/>
  <c r="U228"/>
  <c r="U225"/>
  <c r="U224"/>
  <c r="AA221"/>
  <c r="AB131"/>
  <c r="AB140"/>
  <c r="AB132"/>
  <c r="P131"/>
  <c r="P140"/>
  <c r="P132"/>
  <c r="AE180"/>
  <c r="AE179"/>
  <c r="AF128"/>
  <c r="AF188"/>
  <c r="J188"/>
  <c r="J128"/>
  <c r="I179"/>
  <c r="I180"/>
  <c r="I128"/>
  <c r="N221"/>
  <c r="N218"/>
  <c r="N217"/>
  <c r="N220"/>
  <c r="N219"/>
  <c r="N222"/>
  <c r="P221"/>
  <c r="P222"/>
  <c r="P218"/>
  <c r="P219"/>
  <c r="P220"/>
  <c r="P217"/>
  <c r="I132"/>
  <c r="I131"/>
  <c r="I140"/>
  <c r="I220"/>
  <c r="I221"/>
  <c r="I217"/>
  <c r="I218"/>
  <c r="I219"/>
  <c r="AG218"/>
  <c r="AG221"/>
  <c r="AG220"/>
  <c r="AG219"/>
  <c r="AG217"/>
  <c r="AG222"/>
  <c r="AF217"/>
  <c r="AF219"/>
  <c r="AF221"/>
  <c r="AF220"/>
  <c r="AF218"/>
  <c r="AF222"/>
  <c r="J227"/>
  <c r="AA217"/>
  <c r="AB219"/>
  <c r="AB220"/>
  <c r="AB218"/>
  <c r="AB222"/>
  <c r="AB217"/>
  <c r="AB221"/>
  <c r="AL217"/>
  <c r="AL220"/>
  <c r="AL218"/>
  <c r="AL219"/>
  <c r="AL222"/>
  <c r="AL221"/>
  <c r="V189"/>
  <c r="U155"/>
  <c r="V130"/>
  <c r="U181"/>
  <c r="Z128"/>
  <c r="Z188"/>
  <c r="Y179"/>
  <c r="Y180"/>
  <c r="J225"/>
  <c r="AL130"/>
  <c r="AL189"/>
  <c r="AK155"/>
  <c r="AK181"/>
  <c r="AE181"/>
  <c r="AF130"/>
  <c r="AE155"/>
  <c r="AF189"/>
  <c r="R189"/>
  <c r="Q155"/>
  <c r="R130"/>
  <c r="Q181"/>
  <c r="AG155"/>
  <c r="AH130"/>
  <c r="AH189"/>
  <c r="AG181"/>
  <c r="W128"/>
  <c r="AA219"/>
  <c r="O155"/>
  <c r="P189"/>
  <c r="P130"/>
  <c r="O181"/>
  <c r="AK179"/>
  <c r="AK180"/>
  <c r="AL188"/>
  <c r="AL128"/>
  <c r="AK140"/>
  <c r="AK131"/>
  <c r="AK132"/>
  <c r="X179"/>
  <c r="X180"/>
  <c r="Y128"/>
  <c r="Y188"/>
  <c r="Y130"/>
  <c r="Y189"/>
  <c r="X155"/>
  <c r="X181"/>
  <c r="W220"/>
  <c r="W221"/>
  <c r="W217"/>
  <c r="W218"/>
  <c r="W222"/>
  <c r="W219"/>
  <c r="AL181"/>
  <c r="AL155"/>
  <c r="T225"/>
  <c r="T226"/>
  <c r="T224"/>
  <c r="T223"/>
  <c r="T227"/>
  <c r="T228"/>
  <c r="S155"/>
  <c r="T130"/>
  <c r="T189"/>
  <c r="S181"/>
  <c r="AE132"/>
  <c r="AE140"/>
  <c r="AE131"/>
  <c r="U131"/>
  <c r="U132"/>
  <c r="U140"/>
  <c r="Y155"/>
  <c r="Z189"/>
  <c r="Z130"/>
  <c r="Y181"/>
  <c r="H223"/>
  <c r="H224"/>
  <c r="H226"/>
  <c r="H225"/>
  <c r="H227"/>
  <c r="H228"/>
  <c r="AA188"/>
  <c r="Z179"/>
  <c r="Z180"/>
  <c r="L224"/>
  <c r="L225"/>
  <c r="L223"/>
  <c r="L226"/>
  <c r="L228"/>
  <c r="L188"/>
  <c r="N227"/>
  <c r="N224"/>
  <c r="N228"/>
  <c r="N225"/>
  <c r="N226"/>
  <c r="N223"/>
  <c r="M222"/>
  <c r="M219"/>
  <c r="M220"/>
  <c r="M221"/>
  <c r="M218"/>
  <c r="M217"/>
  <c r="AH228"/>
  <c r="AH224"/>
  <c r="AH225"/>
  <c r="AH226"/>
  <c r="AH223"/>
  <c r="AH227"/>
  <c r="AE225"/>
  <c r="AE224"/>
  <c r="AE227"/>
  <c r="AE223"/>
  <c r="AE226"/>
  <c r="AE228"/>
  <c r="K188"/>
  <c r="J180"/>
  <c r="J179"/>
  <c r="K128"/>
  <c r="R188"/>
  <c r="Q179"/>
  <c r="Q180"/>
  <c r="AA130"/>
  <c r="AA189"/>
  <c r="Z155"/>
  <c r="Z181"/>
  <c r="AK226"/>
  <c r="AK224"/>
  <c r="AK223"/>
  <c r="AK225"/>
  <c r="AK227"/>
  <c r="AK228"/>
  <c r="P155"/>
  <c r="Q189"/>
  <c r="Q130"/>
  <c r="P181"/>
  <c r="S218"/>
  <c r="S219"/>
  <c r="S221"/>
  <c r="S220"/>
  <c r="S217"/>
  <c r="S222"/>
  <c r="AB227"/>
  <c r="AB226"/>
  <c r="AB224"/>
  <c r="AB228"/>
  <c r="AB225"/>
  <c r="AB223"/>
  <c r="AI155"/>
  <c r="AJ130"/>
  <c r="AJ189"/>
  <c r="AI181"/>
  <c r="O130"/>
  <c r="N155"/>
  <c r="O189"/>
  <c r="N181"/>
  <c r="AF180"/>
  <c r="AG188"/>
  <c r="AF179"/>
  <c r="AG128"/>
  <c r="AL224"/>
  <c r="AL227"/>
  <c r="AL228"/>
  <c r="AL225"/>
  <c r="AL223"/>
  <c r="AL226"/>
  <c r="AL180"/>
  <c r="AL179"/>
  <c r="P223"/>
  <c r="P225"/>
  <c r="P226"/>
  <c r="P228"/>
  <c r="P224"/>
  <c r="P227"/>
  <c r="Y140"/>
  <c r="Y132"/>
  <c r="Y131"/>
  <c r="I226"/>
  <c r="I228"/>
  <c r="I227"/>
  <c r="I224"/>
  <c r="I223"/>
  <c r="I225"/>
  <c r="AI131"/>
  <c r="AI132"/>
  <c r="AI140"/>
  <c r="K217"/>
  <c r="K221"/>
  <c r="K220"/>
  <c r="K218"/>
  <c r="K219"/>
  <c r="R226"/>
  <c r="R223"/>
  <c r="R227"/>
  <c r="R225"/>
  <c r="R228"/>
  <c r="R224"/>
  <c r="AH220"/>
  <c r="AH219"/>
  <c r="AH221"/>
  <c r="AH222"/>
  <c r="AH217"/>
  <c r="AH218"/>
  <c r="AJ226"/>
  <c r="AJ225"/>
  <c r="AJ224"/>
  <c r="AJ227"/>
  <c r="AJ228"/>
  <c r="AJ223"/>
  <c r="L131"/>
  <c r="L140"/>
  <c r="L132"/>
  <c r="V225"/>
  <c r="V223"/>
  <c r="V228"/>
  <c r="V226"/>
  <c r="V224"/>
  <c r="V227"/>
  <c r="AH155"/>
  <c r="AI189"/>
  <c r="AI130"/>
  <c r="AH181"/>
  <c r="AA227"/>
  <c r="AA228"/>
  <c r="AA226"/>
  <c r="AA223"/>
  <c r="AA224"/>
  <c r="AA225"/>
  <c r="U180"/>
  <c r="U179"/>
  <c r="V188"/>
  <c r="Y224"/>
  <c r="Y226"/>
  <c r="Y228"/>
  <c r="Y225"/>
  <c r="Y223"/>
  <c r="Y227"/>
  <c r="Z220"/>
  <c r="Z222"/>
  <c r="Z218"/>
  <c r="Z217"/>
  <c r="Z219"/>
  <c r="Z221"/>
  <c r="AI180"/>
  <c r="AI179"/>
  <c r="AJ188"/>
  <c r="AB128"/>
  <c r="X220"/>
  <c r="X222"/>
  <c r="X217"/>
  <c r="X218"/>
  <c r="X221"/>
  <c r="X219"/>
  <c r="X189"/>
  <c r="X130"/>
  <c r="W155"/>
  <c r="W181"/>
  <c r="U218"/>
  <c r="U217"/>
  <c r="U222"/>
  <c r="U221"/>
  <c r="U220"/>
  <c r="U219"/>
  <c r="Q131"/>
  <c r="Q132"/>
  <c r="Q140"/>
  <c r="O223"/>
  <c r="O226"/>
  <c r="O227"/>
  <c r="O224"/>
  <c r="O228"/>
  <c r="O225"/>
  <c r="M181"/>
  <c r="N189"/>
  <c r="M155"/>
  <c r="N130"/>
  <c r="H221"/>
  <c r="H217"/>
  <c r="H218"/>
  <c r="H219"/>
  <c r="H220"/>
  <c r="I209" l="1"/>
  <c r="H222"/>
  <c r="J209"/>
  <c r="I222"/>
  <c r="AC62"/>
  <c r="AC57"/>
  <c r="AC215"/>
  <c r="AC197"/>
  <c r="AC214"/>
  <c r="AC96"/>
  <c r="AC55"/>
  <c r="AC48"/>
  <c r="AC54"/>
  <c r="AC212"/>
  <c r="AC199"/>
  <c r="AC61"/>
  <c r="AC230"/>
  <c r="AC204"/>
  <c r="AC127"/>
  <c r="AC205"/>
  <c r="AC208"/>
  <c r="AC196"/>
  <c r="AC198"/>
  <c r="AC207"/>
  <c r="AC59"/>
  <c r="AC209"/>
  <c r="AC213"/>
  <c r="AC231"/>
  <c r="AC210"/>
  <c r="AC60"/>
  <c r="AC211"/>
  <c r="AC206"/>
  <c r="AC187"/>
  <c r="AC31"/>
  <c r="L209"/>
  <c r="K222"/>
  <c r="K209"/>
  <c r="J222"/>
  <c r="K214"/>
  <c r="L214"/>
  <c r="K227"/>
  <c r="L227"/>
  <c r="L204"/>
  <c r="G208"/>
  <c r="G205"/>
  <c r="AF170"/>
  <c r="K171"/>
  <c r="L196"/>
  <c r="L62"/>
  <c r="AG177"/>
  <c r="AE150"/>
  <c r="W68"/>
  <c r="O143"/>
  <c r="O167"/>
  <c r="L222"/>
  <c r="L48"/>
  <c r="K180"/>
  <c r="K179"/>
  <c r="K96"/>
  <c r="J155"/>
  <c r="K130"/>
  <c r="X228"/>
  <c r="X227"/>
  <c r="X223"/>
  <c r="X224"/>
  <c r="X226"/>
  <c r="X225"/>
  <c r="AJ61"/>
  <c r="AJ214"/>
  <c r="AJ213"/>
  <c r="AJ54"/>
  <c r="AJ205"/>
  <c r="AJ62"/>
  <c r="AJ196"/>
  <c r="AJ210"/>
  <c r="AJ231"/>
  <c r="AJ209"/>
  <c r="AJ212"/>
  <c r="AJ59"/>
  <c r="AJ206"/>
  <c r="AJ215"/>
  <c r="AJ127"/>
  <c r="AJ31"/>
  <c r="AJ199"/>
  <c r="AJ96"/>
  <c r="AJ60"/>
  <c r="AJ204"/>
  <c r="AJ48"/>
  <c r="AJ197"/>
  <c r="AJ230"/>
  <c r="AJ208"/>
  <c r="AJ55"/>
  <c r="AJ57"/>
  <c r="AJ207"/>
  <c r="AJ198"/>
  <c r="AJ211"/>
  <c r="AJ187"/>
  <c r="G207"/>
  <c r="F220"/>
  <c r="G220"/>
  <c r="G214"/>
  <c r="F214"/>
  <c r="F227"/>
  <c r="G209"/>
  <c r="F209"/>
  <c r="F222"/>
  <c r="L52"/>
  <c r="L58"/>
  <c r="M9"/>
  <c r="G58" i="12"/>
  <c r="F9"/>
  <c r="K9"/>
  <c r="J58"/>
  <c r="AJ128" i="17"/>
  <c r="K211"/>
  <c r="J211"/>
  <c r="K224"/>
  <c r="J224"/>
  <c r="G224"/>
  <c r="G210"/>
  <c r="G223"/>
  <c r="G226"/>
  <c r="H210"/>
  <c r="G225"/>
  <c r="G227"/>
  <c r="G228"/>
  <c r="H209"/>
  <c r="G222"/>
  <c r="I214"/>
  <c r="J214"/>
  <c r="H52"/>
  <c r="H58"/>
  <c r="G9"/>
  <c r="U114" i="8"/>
  <c r="U112"/>
  <c r="U110"/>
  <c r="U108"/>
  <c r="U106"/>
  <c r="U104"/>
  <c r="U102"/>
  <c r="U100"/>
  <c r="U98"/>
  <c r="U113"/>
  <c r="U111"/>
  <c r="U109"/>
  <c r="U107"/>
  <c r="U105"/>
  <c r="U103"/>
  <c r="U101"/>
  <c r="U99"/>
  <c r="U97"/>
  <c r="U96"/>
  <c r="U94"/>
  <c r="U92"/>
  <c r="U90"/>
  <c r="U88"/>
  <c r="U86"/>
  <c r="U84"/>
  <c r="U82"/>
  <c r="U95"/>
  <c r="U93"/>
  <c r="U91"/>
  <c r="U89"/>
  <c r="U87"/>
  <c r="U85"/>
  <c r="U83"/>
  <c r="U81"/>
  <c r="U80"/>
  <c r="U78"/>
  <c r="U76"/>
  <c r="U74"/>
  <c r="U72"/>
  <c r="U70"/>
  <c r="U68"/>
  <c r="U66"/>
  <c r="U64"/>
  <c r="U62"/>
  <c r="U60"/>
  <c r="U58"/>
  <c r="U56"/>
  <c r="U54"/>
  <c r="U52"/>
  <c r="U50"/>
  <c r="U48"/>
  <c r="U79"/>
  <c r="U77"/>
  <c r="U75"/>
  <c r="U73"/>
  <c r="U71"/>
  <c r="U69"/>
  <c r="U67"/>
  <c r="U65"/>
  <c r="U63"/>
  <c r="U61"/>
  <c r="U59"/>
  <c r="U57"/>
  <c r="U55"/>
  <c r="U53"/>
  <c r="U51"/>
  <c r="U49"/>
  <c r="U47"/>
  <c r="U45"/>
  <c r="S114"/>
  <c r="S112"/>
  <c r="S110"/>
  <c r="S108"/>
  <c r="S106"/>
  <c r="S104"/>
  <c r="S102"/>
  <c r="S100"/>
  <c r="S98"/>
  <c r="S113"/>
  <c r="S111"/>
  <c r="S109"/>
  <c r="S107"/>
  <c r="S105"/>
  <c r="S103"/>
  <c r="S101"/>
  <c r="S99"/>
  <c r="S96"/>
  <c r="S94"/>
  <c r="S92"/>
  <c r="S90"/>
  <c r="S88"/>
  <c r="S86"/>
  <c r="S84"/>
  <c r="S82"/>
  <c r="S97"/>
  <c r="S95"/>
  <c r="S93"/>
  <c r="S91"/>
  <c r="S89"/>
  <c r="S87"/>
  <c r="S85"/>
  <c r="S83"/>
  <c r="S81"/>
  <c r="S80"/>
  <c r="S78"/>
  <c r="S76"/>
  <c r="S74"/>
  <c r="S72"/>
  <c r="S70"/>
  <c r="S68"/>
  <c r="S66"/>
  <c r="S64"/>
  <c r="S62"/>
  <c r="S60"/>
  <c r="S58"/>
  <c r="S56"/>
  <c r="S54"/>
  <c r="S52"/>
  <c r="S50"/>
  <c r="S48"/>
  <c r="S79"/>
  <c r="S77"/>
  <c r="S75"/>
  <c r="S73"/>
  <c r="S71"/>
  <c r="S69"/>
  <c r="S67"/>
  <c r="S65"/>
  <c r="S63"/>
  <c r="S61"/>
  <c r="S59"/>
  <c r="S57"/>
  <c r="S55"/>
  <c r="S53"/>
  <c r="S51"/>
  <c r="S49"/>
  <c r="S47"/>
  <c r="S45"/>
  <c r="Q114"/>
  <c r="Q112"/>
  <c r="Q110"/>
  <c r="Q108"/>
  <c r="Q106"/>
  <c r="Q104"/>
  <c r="Q102"/>
  <c r="Q100"/>
  <c r="Q98"/>
  <c r="Q113"/>
  <c r="Q111"/>
  <c r="Q109"/>
  <c r="Q107"/>
  <c r="Q105"/>
  <c r="Q103"/>
  <c r="Q101"/>
  <c r="Q99"/>
  <c r="Q97"/>
  <c r="Q96"/>
  <c r="Q94"/>
  <c r="Q92"/>
  <c r="Q90"/>
  <c r="Q88"/>
  <c r="Q86"/>
  <c r="Q84"/>
  <c r="Q82"/>
  <c r="Q95"/>
  <c r="Q93"/>
  <c r="Q91"/>
  <c r="Q89"/>
  <c r="Q87"/>
  <c r="Q85"/>
  <c r="Q83"/>
  <c r="Q81"/>
  <c r="Q80"/>
  <c r="Q78"/>
  <c r="Q76"/>
  <c r="Q74"/>
  <c r="Q72"/>
  <c r="Q70"/>
  <c r="Q68"/>
  <c r="Q66"/>
  <c r="Q64"/>
  <c r="Q62"/>
  <c r="Q60"/>
  <c r="Q58"/>
  <c r="Q56"/>
  <c r="Q54"/>
  <c r="Q52"/>
  <c r="Q50"/>
  <c r="Q48"/>
  <c r="Q79"/>
  <c r="Q77"/>
  <c r="Q75"/>
  <c r="Q73"/>
  <c r="Q71"/>
  <c r="Q69"/>
  <c r="Q67"/>
  <c r="Q65"/>
  <c r="Q63"/>
  <c r="Q61"/>
  <c r="Q59"/>
  <c r="Q57"/>
  <c r="Q55"/>
  <c r="Q53"/>
  <c r="Q51"/>
  <c r="Q49"/>
  <c r="Q47"/>
  <c r="Q45"/>
  <c r="L113"/>
  <c r="L111"/>
  <c r="L109"/>
  <c r="L107"/>
  <c r="L105"/>
  <c r="L103"/>
  <c r="L101"/>
  <c r="L99"/>
  <c r="L114"/>
  <c r="L112"/>
  <c r="L110"/>
  <c r="L108"/>
  <c r="L106"/>
  <c r="L104"/>
  <c r="L102"/>
  <c r="L100"/>
  <c r="L98"/>
  <c r="L97"/>
  <c r="L95"/>
  <c r="L93"/>
  <c r="L91"/>
  <c r="L89"/>
  <c r="L87"/>
  <c r="L85"/>
  <c r="L83"/>
  <c r="L81"/>
  <c r="L96"/>
  <c r="L94"/>
  <c r="L92"/>
  <c r="L90"/>
  <c r="L88"/>
  <c r="L86"/>
  <c r="L84"/>
  <c r="L82"/>
  <c r="L79"/>
  <c r="L77"/>
  <c r="L75"/>
  <c r="L73"/>
  <c r="L71"/>
  <c r="L69"/>
  <c r="L67"/>
  <c r="L65"/>
  <c r="L63"/>
  <c r="L61"/>
  <c r="L59"/>
  <c r="L57"/>
  <c r="L55"/>
  <c r="L53"/>
  <c r="L51"/>
  <c r="L49"/>
  <c r="L80"/>
  <c r="L78"/>
  <c r="L76"/>
  <c r="L74"/>
  <c r="L72"/>
  <c r="L70"/>
  <c r="L68"/>
  <c r="L66"/>
  <c r="L64"/>
  <c r="L62"/>
  <c r="L60"/>
  <c r="L58"/>
  <c r="L56"/>
  <c r="L54"/>
  <c r="L52"/>
  <c r="L50"/>
  <c r="L48"/>
  <c r="L46"/>
  <c r="H113"/>
  <c r="H111"/>
  <c r="H109"/>
  <c r="H107"/>
  <c r="H105"/>
  <c r="H103"/>
  <c r="H101"/>
  <c r="H99"/>
  <c r="H114"/>
  <c r="H112"/>
  <c r="H110"/>
  <c r="H108"/>
  <c r="H106"/>
  <c r="H104"/>
  <c r="H102"/>
  <c r="H100"/>
  <c r="H98"/>
  <c r="H97"/>
  <c r="H95"/>
  <c r="H93"/>
  <c r="H91"/>
  <c r="H89"/>
  <c r="H87"/>
  <c r="H85"/>
  <c r="H83"/>
  <c r="H81"/>
  <c r="H96"/>
  <c r="H94"/>
  <c r="H92"/>
  <c r="H90"/>
  <c r="H88"/>
  <c r="H86"/>
  <c r="H84"/>
  <c r="H82"/>
  <c r="H79"/>
  <c r="H77"/>
  <c r="H75"/>
  <c r="H73"/>
  <c r="H71"/>
  <c r="H69"/>
  <c r="H67"/>
  <c r="H65"/>
  <c r="H63"/>
  <c r="H61"/>
  <c r="H59"/>
  <c r="H57"/>
  <c r="H55"/>
  <c r="H53"/>
  <c r="H51"/>
  <c r="H49"/>
  <c r="H80"/>
  <c r="H78"/>
  <c r="H76"/>
  <c r="H74"/>
  <c r="H72"/>
  <c r="H70"/>
  <c r="H68"/>
  <c r="H66"/>
  <c r="H64"/>
  <c r="H62"/>
  <c r="H60"/>
  <c r="H58"/>
  <c r="H56"/>
  <c r="H54"/>
  <c r="H52"/>
  <c r="H50"/>
  <c r="H48"/>
  <c r="H46"/>
  <c r="G114"/>
  <c r="G112"/>
  <c r="G110"/>
  <c r="G108"/>
  <c r="G106"/>
  <c r="G104"/>
  <c r="G102"/>
  <c r="G100"/>
  <c r="G98"/>
  <c r="G113"/>
  <c r="G111"/>
  <c r="G109"/>
  <c r="G107"/>
  <c r="G105"/>
  <c r="G103"/>
  <c r="G101"/>
  <c r="G99"/>
  <c r="G96"/>
  <c r="G94"/>
  <c r="G92"/>
  <c r="G90"/>
  <c r="G88"/>
  <c r="G86"/>
  <c r="G84"/>
  <c r="G82"/>
  <c r="G97"/>
  <c r="G95"/>
  <c r="G93"/>
  <c r="G91"/>
  <c r="G89"/>
  <c r="G87"/>
  <c r="G85"/>
  <c r="G83"/>
  <c r="G81"/>
  <c r="G80"/>
  <c r="G78"/>
  <c r="G76"/>
  <c r="G74"/>
  <c r="G72"/>
  <c r="G70"/>
  <c r="G68"/>
  <c r="G66"/>
  <c r="G64"/>
  <c r="G62"/>
  <c r="G60"/>
  <c r="G58"/>
  <c r="G56"/>
  <c r="G54"/>
  <c r="G52"/>
  <c r="G50"/>
  <c r="G48"/>
  <c r="G79"/>
  <c r="G77"/>
  <c r="G75"/>
  <c r="G73"/>
  <c r="G71"/>
  <c r="G69"/>
  <c r="G67"/>
  <c r="G65"/>
  <c r="G63"/>
  <c r="G61"/>
  <c r="G59"/>
  <c r="G57"/>
  <c r="G55"/>
  <c r="G53"/>
  <c r="G51"/>
  <c r="G49"/>
  <c r="G47"/>
  <c r="P128" i="17"/>
  <c r="O179"/>
  <c r="AB155"/>
  <c r="Q128"/>
  <c r="AK221"/>
  <c r="AK222"/>
  <c r="AF131"/>
  <c r="L61"/>
  <c r="L197"/>
  <c r="L199"/>
  <c r="I210"/>
  <c r="G28" i="8"/>
  <c r="I28"/>
  <c r="K28"/>
  <c r="M28"/>
  <c r="O28"/>
  <c r="Q28"/>
  <c r="S28"/>
  <c r="U28"/>
  <c r="F29"/>
  <c r="H29"/>
  <c r="J29"/>
  <c r="L29"/>
  <c r="N29"/>
  <c r="P29"/>
  <c r="R29"/>
  <c r="T29"/>
  <c r="G30"/>
  <c r="I30"/>
  <c r="K30"/>
  <c r="M30"/>
  <c r="O30"/>
  <c r="Q30"/>
  <c r="S30"/>
  <c r="U30"/>
  <c r="F31"/>
  <c r="H31"/>
  <c r="J31"/>
  <c r="L31"/>
  <c r="N31"/>
  <c r="P31"/>
  <c r="R31"/>
  <c r="T31"/>
  <c r="G32"/>
  <c r="I32"/>
  <c r="K32"/>
  <c r="M32"/>
  <c r="O32"/>
  <c r="Q32"/>
  <c r="S32"/>
  <c r="U32"/>
  <c r="F33"/>
  <c r="H33"/>
  <c r="J33"/>
  <c r="L33"/>
  <c r="N33"/>
  <c r="P33"/>
  <c r="R33"/>
  <c r="T33"/>
  <c r="G34"/>
  <c r="I34"/>
  <c r="K34"/>
  <c r="M34"/>
  <c r="O34"/>
  <c r="Q34"/>
  <c r="S34"/>
  <c r="U34"/>
  <c r="F35"/>
  <c r="H35"/>
  <c r="J35"/>
  <c r="L35"/>
  <c r="N35"/>
  <c r="P35"/>
  <c r="R35"/>
  <c r="T35"/>
  <c r="G36"/>
  <c r="I36"/>
  <c r="K36"/>
  <c r="M36"/>
  <c r="O36"/>
  <c r="Q36"/>
  <c r="S36"/>
  <c r="U36"/>
  <c r="F37"/>
  <c r="H37"/>
  <c r="J37"/>
  <c r="L37"/>
  <c r="N37"/>
  <c r="P37"/>
  <c r="R37"/>
  <c r="T37"/>
  <c r="G38"/>
  <c r="I38"/>
  <c r="K38"/>
  <c r="M38"/>
  <c r="O38"/>
  <c r="Q38"/>
  <c r="S38"/>
  <c r="U38"/>
  <c r="F39"/>
  <c r="H39"/>
  <c r="J39"/>
  <c r="L39"/>
  <c r="N39"/>
  <c r="P39"/>
  <c r="R39"/>
  <c r="T39"/>
  <c r="G40"/>
  <c r="I40"/>
  <c r="K40"/>
  <c r="M40"/>
  <c r="O40"/>
  <c r="Q40"/>
  <c r="S40"/>
  <c r="U40"/>
  <c r="F41"/>
  <c r="H41"/>
  <c r="J41"/>
  <c r="L41"/>
  <c r="N41"/>
  <c r="P41"/>
  <c r="R41"/>
  <c r="T41"/>
  <c r="G42"/>
  <c r="I42"/>
  <c r="K42"/>
  <c r="M42"/>
  <c r="O42"/>
  <c r="Q42"/>
  <c r="S42"/>
  <c r="U42"/>
  <c r="F43"/>
  <c r="H43"/>
  <c r="J43"/>
  <c r="L43"/>
  <c r="N43"/>
  <c r="P43"/>
  <c r="R43"/>
  <c r="G44"/>
  <c r="I44"/>
  <c r="M44"/>
  <c r="Q44"/>
  <c r="S44"/>
  <c r="U44"/>
  <c r="H45"/>
  <c r="L45"/>
  <c r="Q46"/>
  <c r="U46"/>
  <c r="H47"/>
  <c r="L47"/>
  <c r="T113"/>
  <c r="T111"/>
  <c r="T109"/>
  <c r="T107"/>
  <c r="T105"/>
  <c r="T103"/>
  <c r="T101"/>
  <c r="T99"/>
  <c r="T97"/>
  <c r="T114"/>
  <c r="T112"/>
  <c r="T110"/>
  <c r="T108"/>
  <c r="T106"/>
  <c r="T104"/>
  <c r="T102"/>
  <c r="T100"/>
  <c r="T98"/>
  <c r="T95"/>
  <c r="T93"/>
  <c r="T91"/>
  <c r="T89"/>
  <c r="T87"/>
  <c r="T85"/>
  <c r="T83"/>
  <c r="T81"/>
  <c r="T96"/>
  <c r="T94"/>
  <c r="T92"/>
  <c r="T90"/>
  <c r="T88"/>
  <c r="T86"/>
  <c r="T84"/>
  <c r="T82"/>
  <c r="T79"/>
  <c r="T77"/>
  <c r="T75"/>
  <c r="T73"/>
  <c r="T71"/>
  <c r="T69"/>
  <c r="T67"/>
  <c r="T65"/>
  <c r="T63"/>
  <c r="T61"/>
  <c r="T59"/>
  <c r="T57"/>
  <c r="T55"/>
  <c r="T53"/>
  <c r="T51"/>
  <c r="T49"/>
  <c r="T47"/>
  <c r="T80"/>
  <c r="T78"/>
  <c r="T76"/>
  <c r="T74"/>
  <c r="T72"/>
  <c r="T70"/>
  <c r="T68"/>
  <c r="T66"/>
  <c r="T64"/>
  <c r="T62"/>
  <c r="T60"/>
  <c r="T58"/>
  <c r="T56"/>
  <c r="T54"/>
  <c r="T52"/>
  <c r="T50"/>
  <c r="T48"/>
  <c r="T46"/>
  <c r="R113"/>
  <c r="R111"/>
  <c r="R109"/>
  <c r="R107"/>
  <c r="R105"/>
  <c r="R103"/>
  <c r="R101"/>
  <c r="R99"/>
  <c r="R97"/>
  <c r="R114"/>
  <c r="R112"/>
  <c r="R110"/>
  <c r="R108"/>
  <c r="R106"/>
  <c r="R104"/>
  <c r="R102"/>
  <c r="R100"/>
  <c r="R95"/>
  <c r="R93"/>
  <c r="R91"/>
  <c r="R89"/>
  <c r="R87"/>
  <c r="R85"/>
  <c r="R83"/>
  <c r="R81"/>
  <c r="R98"/>
  <c r="R96"/>
  <c r="R94"/>
  <c r="R92"/>
  <c r="R90"/>
  <c r="R88"/>
  <c r="R86"/>
  <c r="R84"/>
  <c r="R82"/>
  <c r="R79"/>
  <c r="R77"/>
  <c r="R75"/>
  <c r="R73"/>
  <c r="R71"/>
  <c r="R69"/>
  <c r="R67"/>
  <c r="R65"/>
  <c r="R63"/>
  <c r="R61"/>
  <c r="R59"/>
  <c r="R57"/>
  <c r="R55"/>
  <c r="R53"/>
  <c r="R51"/>
  <c r="R49"/>
  <c r="R47"/>
  <c r="R80"/>
  <c r="R78"/>
  <c r="R76"/>
  <c r="R74"/>
  <c r="R72"/>
  <c r="R70"/>
  <c r="R68"/>
  <c r="R66"/>
  <c r="R64"/>
  <c r="R62"/>
  <c r="R60"/>
  <c r="R58"/>
  <c r="R56"/>
  <c r="R54"/>
  <c r="R52"/>
  <c r="R50"/>
  <c r="R48"/>
  <c r="R46"/>
  <c r="P113"/>
  <c r="P111"/>
  <c r="P109"/>
  <c r="P107"/>
  <c r="P105"/>
  <c r="P103"/>
  <c r="P101"/>
  <c r="P99"/>
  <c r="P97"/>
  <c r="P114"/>
  <c r="P112"/>
  <c r="P110"/>
  <c r="P108"/>
  <c r="P106"/>
  <c r="P104"/>
  <c r="P102"/>
  <c r="P100"/>
  <c r="P98"/>
  <c r="P95"/>
  <c r="P93"/>
  <c r="P91"/>
  <c r="P89"/>
  <c r="P87"/>
  <c r="P85"/>
  <c r="P83"/>
  <c r="P81"/>
  <c r="P96"/>
  <c r="P94"/>
  <c r="P92"/>
  <c r="P90"/>
  <c r="P88"/>
  <c r="P86"/>
  <c r="P84"/>
  <c r="P82"/>
  <c r="P79"/>
  <c r="P77"/>
  <c r="P75"/>
  <c r="P73"/>
  <c r="P71"/>
  <c r="P69"/>
  <c r="P67"/>
  <c r="P65"/>
  <c r="P63"/>
  <c r="P61"/>
  <c r="P59"/>
  <c r="P57"/>
  <c r="P55"/>
  <c r="P53"/>
  <c r="P51"/>
  <c r="P49"/>
  <c r="P80"/>
  <c r="P78"/>
  <c r="P76"/>
  <c r="P74"/>
  <c r="P72"/>
  <c r="P70"/>
  <c r="P68"/>
  <c r="P66"/>
  <c r="P64"/>
  <c r="P62"/>
  <c r="P60"/>
  <c r="P58"/>
  <c r="P56"/>
  <c r="P54"/>
  <c r="P52"/>
  <c r="P50"/>
  <c r="P48"/>
  <c r="P46"/>
  <c r="O114"/>
  <c r="O112"/>
  <c r="O110"/>
  <c r="O108"/>
  <c r="O106"/>
  <c r="O104"/>
  <c r="O102"/>
  <c r="O100"/>
  <c r="O98"/>
  <c r="O113"/>
  <c r="O111"/>
  <c r="O109"/>
  <c r="O107"/>
  <c r="O105"/>
  <c r="O103"/>
  <c r="O101"/>
  <c r="O99"/>
  <c r="O96"/>
  <c r="O94"/>
  <c r="O92"/>
  <c r="O90"/>
  <c r="O88"/>
  <c r="O86"/>
  <c r="O84"/>
  <c r="O82"/>
  <c r="O97"/>
  <c r="O95"/>
  <c r="O93"/>
  <c r="O91"/>
  <c r="O89"/>
  <c r="O87"/>
  <c r="O85"/>
  <c r="O83"/>
  <c r="O81"/>
  <c r="O80"/>
  <c r="O78"/>
  <c r="O76"/>
  <c r="O74"/>
  <c r="O72"/>
  <c r="O70"/>
  <c r="O68"/>
  <c r="O66"/>
  <c r="O64"/>
  <c r="O62"/>
  <c r="O60"/>
  <c r="O58"/>
  <c r="O56"/>
  <c r="O54"/>
  <c r="O52"/>
  <c r="O50"/>
  <c r="O48"/>
  <c r="O79"/>
  <c r="O77"/>
  <c r="O75"/>
  <c r="O73"/>
  <c r="O71"/>
  <c r="O69"/>
  <c r="O67"/>
  <c r="O65"/>
  <c r="O63"/>
  <c r="O61"/>
  <c r="O59"/>
  <c r="O57"/>
  <c r="O55"/>
  <c r="O53"/>
  <c r="O51"/>
  <c r="O49"/>
  <c r="O47"/>
  <c r="O45"/>
  <c r="N113"/>
  <c r="N111"/>
  <c r="N109"/>
  <c r="N107"/>
  <c r="N105"/>
  <c r="N103"/>
  <c r="N101"/>
  <c r="N99"/>
  <c r="N114"/>
  <c r="N112"/>
  <c r="N110"/>
  <c r="N108"/>
  <c r="N106"/>
  <c r="N104"/>
  <c r="N102"/>
  <c r="N100"/>
  <c r="N97"/>
  <c r="N95"/>
  <c r="N93"/>
  <c r="N91"/>
  <c r="N89"/>
  <c r="N87"/>
  <c r="N85"/>
  <c r="N83"/>
  <c r="N81"/>
  <c r="N98"/>
  <c r="N96"/>
  <c r="N94"/>
  <c r="N92"/>
  <c r="N90"/>
  <c r="N88"/>
  <c r="N86"/>
  <c r="N84"/>
  <c r="N82"/>
  <c r="N79"/>
  <c r="N77"/>
  <c r="N75"/>
  <c r="N73"/>
  <c r="N71"/>
  <c r="N69"/>
  <c r="N67"/>
  <c r="N65"/>
  <c r="N63"/>
  <c r="N61"/>
  <c r="N59"/>
  <c r="N57"/>
  <c r="N55"/>
  <c r="N53"/>
  <c r="N51"/>
  <c r="N49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M114"/>
  <c r="M112"/>
  <c r="M110"/>
  <c r="M108"/>
  <c r="M106"/>
  <c r="M104"/>
  <c r="M102"/>
  <c r="M100"/>
  <c r="M98"/>
  <c r="M113"/>
  <c r="M111"/>
  <c r="M109"/>
  <c r="M107"/>
  <c r="M105"/>
  <c r="M103"/>
  <c r="M101"/>
  <c r="M99"/>
  <c r="M96"/>
  <c r="M94"/>
  <c r="M92"/>
  <c r="M90"/>
  <c r="M88"/>
  <c r="M86"/>
  <c r="M84"/>
  <c r="M82"/>
  <c r="M97"/>
  <c r="M95"/>
  <c r="M93"/>
  <c r="M91"/>
  <c r="M89"/>
  <c r="M87"/>
  <c r="M85"/>
  <c r="M83"/>
  <c r="M81"/>
  <c r="M80"/>
  <c r="M78"/>
  <c r="M76"/>
  <c r="M74"/>
  <c r="M72"/>
  <c r="M70"/>
  <c r="M68"/>
  <c r="M66"/>
  <c r="M64"/>
  <c r="M62"/>
  <c r="M60"/>
  <c r="M58"/>
  <c r="M56"/>
  <c r="M54"/>
  <c r="M52"/>
  <c r="M50"/>
  <c r="M48"/>
  <c r="M79"/>
  <c r="M77"/>
  <c r="M75"/>
  <c r="M73"/>
  <c r="M71"/>
  <c r="M69"/>
  <c r="M67"/>
  <c r="M65"/>
  <c r="M63"/>
  <c r="M61"/>
  <c r="M59"/>
  <c r="M57"/>
  <c r="M55"/>
  <c r="M53"/>
  <c r="M51"/>
  <c r="M49"/>
  <c r="M47"/>
  <c r="K114"/>
  <c r="K112"/>
  <c r="K110"/>
  <c r="K108"/>
  <c r="K106"/>
  <c r="K104"/>
  <c r="K102"/>
  <c r="K100"/>
  <c r="K98"/>
  <c r="K113"/>
  <c r="K111"/>
  <c r="K109"/>
  <c r="K107"/>
  <c r="K105"/>
  <c r="K103"/>
  <c r="K101"/>
  <c r="K99"/>
  <c r="K96"/>
  <c r="K94"/>
  <c r="K92"/>
  <c r="K90"/>
  <c r="K88"/>
  <c r="K86"/>
  <c r="K84"/>
  <c r="K82"/>
  <c r="K97"/>
  <c r="K95"/>
  <c r="K93"/>
  <c r="K91"/>
  <c r="K89"/>
  <c r="K87"/>
  <c r="K85"/>
  <c r="K83"/>
  <c r="K81"/>
  <c r="K80"/>
  <c r="K78"/>
  <c r="K76"/>
  <c r="K74"/>
  <c r="K72"/>
  <c r="K70"/>
  <c r="K68"/>
  <c r="K66"/>
  <c r="K64"/>
  <c r="K62"/>
  <c r="K60"/>
  <c r="K58"/>
  <c r="K56"/>
  <c r="K54"/>
  <c r="K52"/>
  <c r="K50"/>
  <c r="K48"/>
  <c r="K79"/>
  <c r="K77"/>
  <c r="K75"/>
  <c r="K73"/>
  <c r="K71"/>
  <c r="K69"/>
  <c r="K67"/>
  <c r="K65"/>
  <c r="K63"/>
  <c r="K61"/>
  <c r="K59"/>
  <c r="K57"/>
  <c r="K55"/>
  <c r="K53"/>
  <c r="K51"/>
  <c r="K49"/>
  <c r="K47"/>
  <c r="J113"/>
  <c r="J111"/>
  <c r="J109"/>
  <c r="J107"/>
  <c r="J105"/>
  <c r="J103"/>
  <c r="J101"/>
  <c r="J99"/>
  <c r="J114"/>
  <c r="J112"/>
  <c r="J110"/>
  <c r="J108"/>
  <c r="J106"/>
  <c r="J104"/>
  <c r="J102"/>
  <c r="J100"/>
  <c r="J97"/>
  <c r="J95"/>
  <c r="J93"/>
  <c r="J91"/>
  <c r="J89"/>
  <c r="J87"/>
  <c r="J85"/>
  <c r="J83"/>
  <c r="J81"/>
  <c r="J98"/>
  <c r="J96"/>
  <c r="J94"/>
  <c r="J92"/>
  <c r="J90"/>
  <c r="J88"/>
  <c r="J86"/>
  <c r="J84"/>
  <c r="J82"/>
  <c r="J79"/>
  <c r="J77"/>
  <c r="J75"/>
  <c r="J73"/>
  <c r="J71"/>
  <c r="J69"/>
  <c r="J67"/>
  <c r="J65"/>
  <c r="J63"/>
  <c r="J61"/>
  <c r="J59"/>
  <c r="J57"/>
  <c r="J55"/>
  <c r="J53"/>
  <c r="J51"/>
  <c r="J49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I114"/>
  <c r="I112"/>
  <c r="I110"/>
  <c r="I108"/>
  <c r="I106"/>
  <c r="I104"/>
  <c r="I102"/>
  <c r="I100"/>
  <c r="I98"/>
  <c r="I113"/>
  <c r="I111"/>
  <c r="I109"/>
  <c r="I107"/>
  <c r="I105"/>
  <c r="I103"/>
  <c r="I101"/>
  <c r="I99"/>
  <c r="I96"/>
  <c r="I94"/>
  <c r="I92"/>
  <c r="I90"/>
  <c r="I88"/>
  <c r="I86"/>
  <c r="I84"/>
  <c r="I82"/>
  <c r="I97"/>
  <c r="I95"/>
  <c r="I93"/>
  <c r="I91"/>
  <c r="I89"/>
  <c r="I87"/>
  <c r="I85"/>
  <c r="I83"/>
  <c r="I81"/>
  <c r="I80"/>
  <c r="I78"/>
  <c r="I76"/>
  <c r="I74"/>
  <c r="I72"/>
  <c r="I70"/>
  <c r="I68"/>
  <c r="I66"/>
  <c r="I64"/>
  <c r="I62"/>
  <c r="I60"/>
  <c r="I58"/>
  <c r="I56"/>
  <c r="I54"/>
  <c r="I52"/>
  <c r="I50"/>
  <c r="I48"/>
  <c r="I79"/>
  <c r="I77"/>
  <c r="I75"/>
  <c r="I73"/>
  <c r="I71"/>
  <c r="I69"/>
  <c r="I67"/>
  <c r="I65"/>
  <c r="I63"/>
  <c r="I61"/>
  <c r="I59"/>
  <c r="I57"/>
  <c r="I55"/>
  <c r="I53"/>
  <c r="I51"/>
  <c r="I49"/>
  <c r="I47"/>
  <c r="F113"/>
  <c r="F111"/>
  <c r="F109"/>
  <c r="F107"/>
  <c r="F105"/>
  <c r="F103"/>
  <c r="F101"/>
  <c r="F99"/>
  <c r="F114"/>
  <c r="F112"/>
  <c r="F110"/>
  <c r="F108"/>
  <c r="F106"/>
  <c r="F104"/>
  <c r="F102"/>
  <c r="F100"/>
  <c r="F97"/>
  <c r="F95"/>
  <c r="F93"/>
  <c r="F91"/>
  <c r="F89"/>
  <c r="F87"/>
  <c r="F85"/>
  <c r="F83"/>
  <c r="F81"/>
  <c r="F98"/>
  <c r="F96"/>
  <c r="F94"/>
  <c r="F92"/>
  <c r="F90"/>
  <c r="F88"/>
  <c r="F86"/>
  <c r="F84"/>
  <c r="F82"/>
  <c r="F79"/>
  <c r="F77"/>
  <c r="F75"/>
  <c r="F73"/>
  <c r="F71"/>
  <c r="F69"/>
  <c r="F67"/>
  <c r="F65"/>
  <c r="F63"/>
  <c r="F61"/>
  <c r="F59"/>
  <c r="F57"/>
  <c r="F55"/>
  <c r="F53"/>
  <c r="F51"/>
  <c r="F49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U10"/>
  <c r="U27"/>
  <c r="U22"/>
  <c r="V9"/>
  <c r="U19"/>
  <c r="U18"/>
  <c r="F28"/>
  <c r="H28"/>
  <c r="J28"/>
  <c r="L28"/>
  <c r="N28"/>
  <c r="P28"/>
  <c r="R28"/>
  <c r="T28"/>
  <c r="G29"/>
  <c r="I29"/>
  <c r="K29"/>
  <c r="M29"/>
  <c r="O29"/>
  <c r="Q29"/>
  <c r="S29"/>
  <c r="U29"/>
  <c r="F30"/>
  <c r="H30"/>
  <c r="J30"/>
  <c r="L30"/>
  <c r="N30"/>
  <c r="P30"/>
  <c r="R30"/>
  <c r="T30"/>
  <c r="G31"/>
  <c r="I31"/>
  <c r="K31"/>
  <c r="M31"/>
  <c r="O31"/>
  <c r="Q31"/>
  <c r="S31"/>
  <c r="U31"/>
  <c r="F32"/>
  <c r="H32"/>
  <c r="J32"/>
  <c r="L32"/>
  <c r="N32"/>
  <c r="P32"/>
  <c r="R32"/>
  <c r="T32"/>
  <c r="G33"/>
  <c r="I33"/>
  <c r="K33"/>
  <c r="M33"/>
  <c r="O33"/>
  <c r="Q33"/>
  <c r="S33"/>
  <c r="U33"/>
  <c r="F34"/>
  <c r="H34"/>
  <c r="J34"/>
  <c r="L34"/>
  <c r="N34"/>
  <c r="P34"/>
  <c r="R34"/>
  <c r="T34"/>
  <c r="G35"/>
  <c r="I35"/>
  <c r="K35"/>
  <c r="M35"/>
  <c r="O35"/>
  <c r="Q35"/>
  <c r="S35"/>
  <c r="U35"/>
  <c r="F36"/>
  <c r="H36"/>
  <c r="J36"/>
  <c r="L36"/>
  <c r="N36"/>
  <c r="P36"/>
  <c r="R36"/>
  <c r="T36"/>
  <c r="G37"/>
  <c r="I37"/>
  <c r="K37"/>
  <c r="M37"/>
  <c r="O37"/>
  <c r="Q37"/>
  <c r="S37"/>
  <c r="U37"/>
  <c r="F38"/>
  <c r="H38"/>
  <c r="J38"/>
  <c r="L38"/>
  <c r="N38"/>
  <c r="P38"/>
  <c r="R38"/>
  <c r="T38"/>
  <c r="G39"/>
  <c r="I39"/>
  <c r="K39"/>
  <c r="M39"/>
  <c r="O39"/>
  <c r="Q39"/>
  <c r="S39"/>
  <c r="U39"/>
  <c r="F40"/>
  <c r="H40"/>
  <c r="J40"/>
  <c r="L40"/>
  <c r="N40"/>
  <c r="P40"/>
  <c r="R40"/>
  <c r="T40"/>
  <c r="G41"/>
  <c r="I41"/>
  <c r="K41"/>
  <c r="M41"/>
  <c r="O41"/>
  <c r="Q41"/>
  <c r="S41"/>
  <c r="U41"/>
  <c r="F42"/>
  <c r="H42"/>
  <c r="J42"/>
  <c r="L42"/>
  <c r="N42"/>
  <c r="P42"/>
  <c r="R42"/>
  <c r="T42"/>
  <c r="G43"/>
  <c r="I43"/>
  <c r="K43"/>
  <c r="M43"/>
  <c r="O43"/>
  <c r="Q43"/>
  <c r="S43"/>
  <c r="U43"/>
  <c r="F44"/>
  <c r="H44"/>
  <c r="J44"/>
  <c r="L44"/>
  <c r="N44"/>
  <c r="P44"/>
  <c r="R44"/>
  <c r="T44"/>
  <c r="G45"/>
  <c r="I45"/>
  <c r="K45"/>
  <c r="M45"/>
  <c r="P45"/>
  <c r="T45"/>
  <c r="G46"/>
  <c r="K46"/>
  <c r="O46"/>
  <c r="S46"/>
  <c r="F47"/>
  <c r="J47"/>
  <c r="N47"/>
  <c r="AC222" i="17" l="1"/>
  <c r="AC220"/>
  <c r="AC217"/>
  <c r="AC221"/>
  <c r="AC218"/>
  <c r="AC219"/>
  <c r="AC131"/>
  <c r="AC140"/>
  <c r="AC132"/>
  <c r="AC180"/>
  <c r="AD188"/>
  <c r="AD128"/>
  <c r="AC179"/>
  <c r="AC128"/>
  <c r="AC181"/>
  <c r="AD130"/>
  <c r="AC155"/>
  <c r="AD189"/>
  <c r="V113" i="8"/>
  <c r="V111"/>
  <c r="V109"/>
  <c r="V107"/>
  <c r="V105"/>
  <c r="V103"/>
  <c r="V101"/>
  <c r="V99"/>
  <c r="V97"/>
  <c r="V114"/>
  <c r="V112"/>
  <c r="V110"/>
  <c r="V108"/>
  <c r="V106"/>
  <c r="V104"/>
  <c r="V102"/>
  <c r="V100"/>
  <c r="V95"/>
  <c r="V93"/>
  <c r="V91"/>
  <c r="V89"/>
  <c r="V87"/>
  <c r="V85"/>
  <c r="V83"/>
  <c r="V81"/>
  <c r="V98"/>
  <c r="V96"/>
  <c r="V94"/>
  <c r="V92"/>
  <c r="V90"/>
  <c r="V88"/>
  <c r="V86"/>
  <c r="V84"/>
  <c r="V82"/>
  <c r="V80"/>
  <c r="V79"/>
  <c r="V77"/>
  <c r="V75"/>
  <c r="V73"/>
  <c r="V71"/>
  <c r="V69"/>
  <c r="V67"/>
  <c r="V65"/>
  <c r="V63"/>
  <c r="V61"/>
  <c r="V59"/>
  <c r="V57"/>
  <c r="V55"/>
  <c r="V53"/>
  <c r="V51"/>
  <c r="V49"/>
  <c r="V47"/>
  <c r="V78"/>
  <c r="V76"/>
  <c r="V74"/>
  <c r="V72"/>
  <c r="V70"/>
  <c r="V68"/>
  <c r="V66"/>
  <c r="V64"/>
  <c r="V62"/>
  <c r="V60"/>
  <c r="V58"/>
  <c r="V56"/>
  <c r="V54"/>
  <c r="V52"/>
  <c r="V50"/>
  <c r="V48"/>
  <c r="V46"/>
  <c r="V44"/>
  <c r="V42"/>
  <c r="V40"/>
  <c r="V38"/>
  <c r="V36"/>
  <c r="V34"/>
  <c r="V32"/>
  <c r="V30"/>
  <c r="V28"/>
  <c r="V22"/>
  <c r="V19"/>
  <c r="V14"/>
  <c r="V11"/>
  <c r="V16"/>
  <c r="V27"/>
  <c r="V23"/>
  <c r="V17"/>
  <c r="V13"/>
  <c r="V45"/>
  <c r="V43"/>
  <c r="V41"/>
  <c r="V39"/>
  <c r="V37"/>
  <c r="V35"/>
  <c r="V33"/>
  <c r="V31"/>
  <c r="V29"/>
  <c r="V12"/>
  <c r="V20"/>
  <c r="V26"/>
  <c r="V15"/>
  <c r="V24"/>
  <c r="V18"/>
  <c r="V25"/>
  <c r="V21"/>
  <c r="W9"/>
  <c r="V10"/>
  <c r="F9" i="17"/>
  <c r="G52"/>
  <c r="G58"/>
  <c r="L9" i="12"/>
  <c r="L58" s="1"/>
  <c r="K58"/>
  <c r="AJ221" i="17"/>
  <c r="AJ219"/>
  <c r="AJ217"/>
  <c r="AJ220"/>
  <c r="AJ222"/>
  <c r="AJ218"/>
  <c r="AK128"/>
  <c r="AJ179"/>
  <c r="AJ180"/>
  <c r="AK188"/>
  <c r="L128"/>
  <c r="L180"/>
  <c r="M188"/>
  <c r="L179"/>
  <c r="M128"/>
  <c r="E9" i="12"/>
  <c r="E58" s="1"/>
  <c r="F58"/>
  <c r="N9" i="17"/>
  <c r="M58"/>
  <c r="M52"/>
  <c r="AK130"/>
  <c r="AJ155"/>
  <c r="AK189"/>
  <c r="AJ181"/>
  <c r="AJ131"/>
  <c r="AJ132"/>
  <c r="AJ140"/>
  <c r="L96"/>
  <c r="L189"/>
  <c r="L130"/>
  <c r="K181"/>
  <c r="K155"/>
  <c r="K60"/>
  <c r="K198" l="1"/>
  <c r="K62"/>
  <c r="K199"/>
  <c r="M189"/>
  <c r="M130"/>
  <c r="L181"/>
  <c r="L155"/>
  <c r="N52"/>
  <c r="O9"/>
  <c r="N58"/>
  <c r="K59"/>
  <c r="F58"/>
  <c r="F52"/>
  <c r="E9"/>
  <c r="W114" i="8"/>
  <c r="W112"/>
  <c r="W110"/>
  <c r="W108"/>
  <c r="W106"/>
  <c r="W104"/>
  <c r="W102"/>
  <c r="W100"/>
  <c r="W98"/>
  <c r="W113"/>
  <c r="W111"/>
  <c r="W109"/>
  <c r="W107"/>
  <c r="W105"/>
  <c r="W103"/>
  <c r="W101"/>
  <c r="W99"/>
  <c r="W96"/>
  <c r="W94"/>
  <c r="W92"/>
  <c r="W90"/>
  <c r="W88"/>
  <c r="W86"/>
  <c r="W84"/>
  <c r="W82"/>
  <c r="W97"/>
  <c r="W95"/>
  <c r="W93"/>
  <c r="W91"/>
  <c r="W89"/>
  <c r="W87"/>
  <c r="W85"/>
  <c r="W83"/>
  <c r="W81"/>
  <c r="W78"/>
  <c r="W76"/>
  <c r="W74"/>
  <c r="W72"/>
  <c r="W70"/>
  <c r="W68"/>
  <c r="W66"/>
  <c r="W64"/>
  <c r="W62"/>
  <c r="W60"/>
  <c r="W58"/>
  <c r="W56"/>
  <c r="W54"/>
  <c r="W52"/>
  <c r="W50"/>
  <c r="W48"/>
  <c r="W80"/>
  <c r="W79"/>
  <c r="W77"/>
  <c r="W75"/>
  <c r="W73"/>
  <c r="W71"/>
  <c r="W69"/>
  <c r="W67"/>
  <c r="W65"/>
  <c r="W63"/>
  <c r="W61"/>
  <c r="W59"/>
  <c r="W57"/>
  <c r="W55"/>
  <c r="W53"/>
  <c r="W51"/>
  <c r="W49"/>
  <c r="W47"/>
  <c r="W45"/>
  <c r="W46"/>
  <c r="W43"/>
  <c r="W41"/>
  <c r="W39"/>
  <c r="W37"/>
  <c r="W35"/>
  <c r="W33"/>
  <c r="W31"/>
  <c r="W29"/>
  <c r="W14"/>
  <c r="W27"/>
  <c r="W22"/>
  <c r="W12"/>
  <c r="W19"/>
  <c r="W15"/>
  <c r="W25"/>
  <c r="W18"/>
  <c r="W17"/>
  <c r="W13"/>
  <c r="W44"/>
  <c r="W42"/>
  <c r="W40"/>
  <c r="W38"/>
  <c r="W36"/>
  <c r="W34"/>
  <c r="W32"/>
  <c r="W30"/>
  <c r="W28"/>
  <c r="W10"/>
  <c r="W20"/>
  <c r="W11"/>
  <c r="W16"/>
  <c r="X9"/>
  <c r="W23"/>
  <c r="W26"/>
  <c r="W24"/>
  <c r="W21"/>
  <c r="X113" l="1"/>
  <c r="X111"/>
  <c r="X109"/>
  <c r="X107"/>
  <c r="X105"/>
  <c r="X103"/>
  <c r="X101"/>
  <c r="X99"/>
  <c r="X97"/>
  <c r="X114"/>
  <c r="X112"/>
  <c r="X110"/>
  <c r="X108"/>
  <c r="X106"/>
  <c r="X104"/>
  <c r="X102"/>
  <c r="X100"/>
  <c r="X98"/>
  <c r="X95"/>
  <c r="X93"/>
  <c r="X91"/>
  <c r="X89"/>
  <c r="X87"/>
  <c r="X85"/>
  <c r="X83"/>
  <c r="X81"/>
  <c r="X96"/>
  <c r="X94"/>
  <c r="X92"/>
  <c r="X90"/>
  <c r="X88"/>
  <c r="X86"/>
  <c r="X84"/>
  <c r="X82"/>
  <c r="X80"/>
  <c r="X79"/>
  <c r="X77"/>
  <c r="X75"/>
  <c r="X73"/>
  <c r="X71"/>
  <c r="X69"/>
  <c r="X67"/>
  <c r="X65"/>
  <c r="X63"/>
  <c r="X61"/>
  <c r="X59"/>
  <c r="X57"/>
  <c r="X55"/>
  <c r="X53"/>
  <c r="X51"/>
  <c r="X49"/>
  <c r="X47"/>
  <c r="X78"/>
  <c r="X76"/>
  <c r="X74"/>
  <c r="X72"/>
  <c r="X70"/>
  <c r="X68"/>
  <c r="X66"/>
  <c r="X64"/>
  <c r="X62"/>
  <c r="X60"/>
  <c r="X58"/>
  <c r="X56"/>
  <c r="X54"/>
  <c r="X52"/>
  <c r="X50"/>
  <c r="X48"/>
  <c r="X46"/>
  <c r="X45"/>
  <c r="X44"/>
  <c r="X42"/>
  <c r="X40"/>
  <c r="X38"/>
  <c r="X36"/>
  <c r="X34"/>
  <c r="X32"/>
  <c r="X30"/>
  <c r="X28"/>
  <c r="X23"/>
  <c r="X13"/>
  <c r="X15"/>
  <c r="X24"/>
  <c r="Y9"/>
  <c r="X27"/>
  <c r="X17"/>
  <c r="X25"/>
  <c r="X21"/>
  <c r="X43"/>
  <c r="X41"/>
  <c r="X39"/>
  <c r="X37"/>
  <c r="X35"/>
  <c r="X33"/>
  <c r="X31"/>
  <c r="X29"/>
  <c r="X20"/>
  <c r="X22"/>
  <c r="X14"/>
  <c r="X18"/>
  <c r="X12"/>
  <c r="X16"/>
  <c r="X19"/>
  <c r="X11"/>
  <c r="X26"/>
  <c r="X10"/>
  <c r="K197" i="17"/>
  <c r="K61"/>
  <c r="K196"/>
  <c r="P9"/>
  <c r="O52"/>
  <c r="O58"/>
  <c r="E58"/>
  <c r="I59" s="1"/>
  <c r="E52"/>
  <c r="J60"/>
  <c r="J59"/>
  <c r="I197" l="1"/>
  <c r="I61"/>
  <c r="I196"/>
  <c r="J61"/>
  <c r="J197"/>
  <c r="J196"/>
  <c r="J198"/>
  <c r="J62"/>
  <c r="J199"/>
  <c r="P52"/>
  <c r="P58"/>
  <c r="Q9"/>
  <c r="Y114" i="8"/>
  <c r="Y112"/>
  <c r="Y110"/>
  <c r="Y108"/>
  <c r="Y106"/>
  <c r="Y104"/>
  <c r="Y102"/>
  <c r="Y100"/>
  <c r="Y98"/>
  <c r="Y113"/>
  <c r="Y111"/>
  <c r="Y109"/>
  <c r="Y107"/>
  <c r="Y105"/>
  <c r="Y103"/>
  <c r="Y101"/>
  <c r="Y99"/>
  <c r="Y97"/>
  <c r="Y96"/>
  <c r="Y94"/>
  <c r="Y92"/>
  <c r="Y90"/>
  <c r="Y88"/>
  <c r="Y86"/>
  <c r="Y84"/>
  <c r="Y82"/>
  <c r="Y80"/>
  <c r="Y95"/>
  <c r="Y93"/>
  <c r="Y91"/>
  <c r="Y89"/>
  <c r="Y87"/>
  <c r="Y85"/>
  <c r="Y83"/>
  <c r="Y81"/>
  <c r="Y78"/>
  <c r="Y76"/>
  <c r="Y74"/>
  <c r="Y72"/>
  <c r="Y70"/>
  <c r="Y68"/>
  <c r="Y66"/>
  <c r="Y64"/>
  <c r="Y62"/>
  <c r="Y60"/>
  <c r="Y58"/>
  <c r="Y56"/>
  <c r="Y54"/>
  <c r="Y52"/>
  <c r="Y50"/>
  <c r="Y48"/>
  <c r="Y79"/>
  <c r="Y77"/>
  <c r="Y75"/>
  <c r="Y73"/>
  <c r="Y71"/>
  <c r="Y69"/>
  <c r="Y67"/>
  <c r="Y65"/>
  <c r="Y63"/>
  <c r="Y61"/>
  <c r="Y59"/>
  <c r="Y57"/>
  <c r="Y55"/>
  <c r="Y53"/>
  <c r="Y51"/>
  <c r="Y49"/>
  <c r="Y47"/>
  <c r="Y45"/>
  <c r="Y43"/>
  <c r="Y41"/>
  <c r="Y39"/>
  <c r="Y37"/>
  <c r="Y35"/>
  <c r="Y33"/>
  <c r="Y31"/>
  <c r="Y29"/>
  <c r="Y22"/>
  <c r="Y24"/>
  <c r="Y20"/>
  <c r="Y16"/>
  <c r="Y17"/>
  <c r="Y13"/>
  <c r="Y12"/>
  <c r="Y10"/>
  <c r="Y26"/>
  <c r="Y11"/>
  <c r="Y46"/>
  <c r="Y44"/>
  <c r="Y42"/>
  <c r="Y40"/>
  <c r="Y38"/>
  <c r="Y36"/>
  <c r="Y34"/>
  <c r="Y32"/>
  <c r="Y30"/>
  <c r="Y28"/>
  <c r="Y15"/>
  <c r="Y25"/>
  <c r="Y19"/>
  <c r="Y21"/>
  <c r="Z9"/>
  <c r="Y23"/>
  <c r="Y18"/>
  <c r="Y14"/>
  <c r="Y27"/>
  <c r="I60" i="17"/>
  <c r="Z113" i="8" l="1"/>
  <c r="Z111"/>
  <c r="Z109"/>
  <c r="Z107"/>
  <c r="Z105"/>
  <c r="Z103"/>
  <c r="Z101"/>
  <c r="Z99"/>
  <c r="Z97"/>
  <c r="Z114"/>
  <c r="Z112"/>
  <c r="Z110"/>
  <c r="Z108"/>
  <c r="Z106"/>
  <c r="Z104"/>
  <c r="Z102"/>
  <c r="Z100"/>
  <c r="Z95"/>
  <c r="Z93"/>
  <c r="Z91"/>
  <c r="Z89"/>
  <c r="Z87"/>
  <c r="Z85"/>
  <c r="Z83"/>
  <c r="Z81"/>
  <c r="Z98"/>
  <c r="Z96"/>
  <c r="Z94"/>
  <c r="Z92"/>
  <c r="Z90"/>
  <c r="Z88"/>
  <c r="Z86"/>
  <c r="Z84"/>
  <c r="Z82"/>
  <c r="Z80"/>
  <c r="Z79"/>
  <c r="Z77"/>
  <c r="Z75"/>
  <c r="Z73"/>
  <c r="Z71"/>
  <c r="Z69"/>
  <c r="Z67"/>
  <c r="Z65"/>
  <c r="Z63"/>
  <c r="Z61"/>
  <c r="Z59"/>
  <c r="Z57"/>
  <c r="Z55"/>
  <c r="Z53"/>
  <c r="Z51"/>
  <c r="Z49"/>
  <c r="Z47"/>
  <c r="Z78"/>
  <c r="Z76"/>
  <c r="Z74"/>
  <c r="Z72"/>
  <c r="Z70"/>
  <c r="Z68"/>
  <c r="Z66"/>
  <c r="Z64"/>
  <c r="Z62"/>
  <c r="Z60"/>
  <c r="Z58"/>
  <c r="Z56"/>
  <c r="Z54"/>
  <c r="Z52"/>
  <c r="Z50"/>
  <c r="Z48"/>
  <c r="Z46"/>
  <c r="Z44"/>
  <c r="Z42"/>
  <c r="Z40"/>
  <c r="Z38"/>
  <c r="Z36"/>
  <c r="Z34"/>
  <c r="Z32"/>
  <c r="Z30"/>
  <c r="Z28"/>
  <c r="Z18"/>
  <c r="AA9"/>
  <c r="Z24"/>
  <c r="Z14"/>
  <c r="Z26"/>
  <c r="Z22"/>
  <c r="Z21"/>
  <c r="Z23"/>
  <c r="Z10"/>
  <c r="Z45"/>
  <c r="Z43"/>
  <c r="Z41"/>
  <c r="Z39"/>
  <c r="Z37"/>
  <c r="Z35"/>
  <c r="Z33"/>
  <c r="Z31"/>
  <c r="Z29"/>
  <c r="Z15"/>
  <c r="Z13"/>
  <c r="Z16"/>
  <c r="Z12"/>
  <c r="Z17"/>
  <c r="Z25"/>
  <c r="Z27"/>
  <c r="Z11"/>
  <c r="Z20"/>
  <c r="Z19"/>
  <c r="I198" i="17"/>
  <c r="I62"/>
  <c r="I199"/>
  <c r="R9"/>
  <c r="Q52"/>
  <c r="Q58"/>
  <c r="R52" l="1"/>
  <c r="S9"/>
  <c r="R58"/>
  <c r="AA114" i="8"/>
  <c r="AA112"/>
  <c r="AA110"/>
  <c r="AA108"/>
  <c r="AA106"/>
  <c r="AA104"/>
  <c r="AA102"/>
  <c r="AA100"/>
  <c r="AA98"/>
  <c r="AA113"/>
  <c r="AA111"/>
  <c r="AA109"/>
  <c r="AA107"/>
  <c r="AA105"/>
  <c r="AA103"/>
  <c r="AA101"/>
  <c r="AA99"/>
  <c r="AA96"/>
  <c r="AA94"/>
  <c r="AA92"/>
  <c r="AA90"/>
  <c r="AA88"/>
  <c r="AA86"/>
  <c r="AA84"/>
  <c r="AA82"/>
  <c r="AA80"/>
  <c r="AA97"/>
  <c r="AA95"/>
  <c r="AA93"/>
  <c r="AA91"/>
  <c r="AA89"/>
  <c r="AA87"/>
  <c r="AA85"/>
  <c r="AA83"/>
  <c r="AA81"/>
  <c r="AA78"/>
  <c r="AA76"/>
  <c r="AA74"/>
  <c r="AA72"/>
  <c r="AA70"/>
  <c r="AA68"/>
  <c r="AA66"/>
  <c r="AA64"/>
  <c r="AA62"/>
  <c r="AA60"/>
  <c r="AA58"/>
  <c r="AA56"/>
  <c r="AA54"/>
  <c r="AA52"/>
  <c r="AA50"/>
  <c r="AA48"/>
  <c r="AA79"/>
  <c r="AA77"/>
  <c r="AA75"/>
  <c r="AA73"/>
  <c r="AA71"/>
  <c r="AA69"/>
  <c r="AA67"/>
  <c r="AA65"/>
  <c r="AA63"/>
  <c r="AA61"/>
  <c r="AA59"/>
  <c r="AA57"/>
  <c r="AA55"/>
  <c r="AA53"/>
  <c r="AA51"/>
  <c r="AA49"/>
  <c r="AA47"/>
  <c r="AA45"/>
  <c r="AA46"/>
  <c r="AA43"/>
  <c r="AA41"/>
  <c r="AA39"/>
  <c r="AA37"/>
  <c r="AA35"/>
  <c r="AA33"/>
  <c r="AA31"/>
  <c r="AA29"/>
  <c r="AA20"/>
  <c r="AA17"/>
  <c r="AA24"/>
  <c r="AA11"/>
  <c r="AA16"/>
  <c r="AB9"/>
  <c r="AA12"/>
  <c r="AA19"/>
  <c r="AA18"/>
  <c r="AA14"/>
  <c r="AA44"/>
  <c r="AA42"/>
  <c r="AA40"/>
  <c r="AA38"/>
  <c r="AA36"/>
  <c r="AA34"/>
  <c r="AA32"/>
  <c r="AA30"/>
  <c r="AA28"/>
  <c r="AA15"/>
  <c r="AA22"/>
  <c r="AA25"/>
  <c r="AA13"/>
  <c r="AA23"/>
  <c r="AA10"/>
  <c r="AA27"/>
  <c r="AA26"/>
  <c r="AA21"/>
  <c r="AB113" l="1"/>
  <c r="AB111"/>
  <c r="AB109"/>
  <c r="AB107"/>
  <c r="AB105"/>
  <c r="AB103"/>
  <c r="AB101"/>
  <c r="AB99"/>
  <c r="AB97"/>
  <c r="AB114"/>
  <c r="AB112"/>
  <c r="AB110"/>
  <c r="AB108"/>
  <c r="AB106"/>
  <c r="AB104"/>
  <c r="AB102"/>
  <c r="AB100"/>
  <c r="AB98"/>
  <c r="AB95"/>
  <c r="AB93"/>
  <c r="AB91"/>
  <c r="AB89"/>
  <c r="AB87"/>
  <c r="AB85"/>
  <c r="AB83"/>
  <c r="AB81"/>
  <c r="AB96"/>
  <c r="AB94"/>
  <c r="AB92"/>
  <c r="AB90"/>
  <c r="AB88"/>
  <c r="AB86"/>
  <c r="AB84"/>
  <c r="AB82"/>
  <c r="AB80"/>
  <c r="AB79"/>
  <c r="AB77"/>
  <c r="AB75"/>
  <c r="AB73"/>
  <c r="AB71"/>
  <c r="AB69"/>
  <c r="AB67"/>
  <c r="AB65"/>
  <c r="AB63"/>
  <c r="AB61"/>
  <c r="AB59"/>
  <c r="AB57"/>
  <c r="AB55"/>
  <c r="AB53"/>
  <c r="AB51"/>
  <c r="AB49"/>
  <c r="AB47"/>
  <c r="AB78"/>
  <c r="AB76"/>
  <c r="AB74"/>
  <c r="AB72"/>
  <c r="AB70"/>
  <c r="AB68"/>
  <c r="AB66"/>
  <c r="AB64"/>
  <c r="AB62"/>
  <c r="AB60"/>
  <c r="AB58"/>
  <c r="AB56"/>
  <c r="AB54"/>
  <c r="AB52"/>
  <c r="AB50"/>
  <c r="AB48"/>
  <c r="AB46"/>
  <c r="AB45"/>
  <c r="AB44"/>
  <c r="AB42"/>
  <c r="AB40"/>
  <c r="AB38"/>
  <c r="AB36"/>
  <c r="AB34"/>
  <c r="AB32"/>
  <c r="AB30"/>
  <c r="AB28"/>
  <c r="AB20"/>
  <c r="AB12"/>
  <c r="AB16"/>
  <c r="AB22"/>
  <c r="AB23"/>
  <c r="AB26"/>
  <c r="AB15"/>
  <c r="AB27"/>
  <c r="AB14"/>
  <c r="AB43"/>
  <c r="AB41"/>
  <c r="AB39"/>
  <c r="AB37"/>
  <c r="AB35"/>
  <c r="AB33"/>
  <c r="AB31"/>
  <c r="AB29"/>
  <c r="AB25"/>
  <c r="AB21"/>
  <c r="AC9"/>
  <c r="AB18"/>
  <c r="AB11"/>
  <c r="AB19"/>
  <c r="AB24"/>
  <c r="AB17"/>
  <c r="AB10"/>
  <c r="AB13"/>
  <c r="T9" i="17"/>
  <c r="S58"/>
  <c r="S52"/>
  <c r="T52" l="1"/>
  <c r="T58"/>
  <c r="U9"/>
  <c r="AC114" i="8"/>
  <c r="AC112"/>
  <c r="AC110"/>
  <c r="AC108"/>
  <c r="AC106"/>
  <c r="AC104"/>
  <c r="AC102"/>
  <c r="AC100"/>
  <c r="AC98"/>
  <c r="AC113"/>
  <c r="AC111"/>
  <c r="AC109"/>
  <c r="AC107"/>
  <c r="AC105"/>
  <c r="AC103"/>
  <c r="AC101"/>
  <c r="AC99"/>
  <c r="AC97"/>
  <c r="AC96"/>
  <c r="AC94"/>
  <c r="AC92"/>
  <c r="AC90"/>
  <c r="AC88"/>
  <c r="AC86"/>
  <c r="AC84"/>
  <c r="AC82"/>
  <c r="AC80"/>
  <c r="AC95"/>
  <c r="AC93"/>
  <c r="AC91"/>
  <c r="AC89"/>
  <c r="AC87"/>
  <c r="AC85"/>
  <c r="AC83"/>
  <c r="AC81"/>
  <c r="AC78"/>
  <c r="AC76"/>
  <c r="AC74"/>
  <c r="AC72"/>
  <c r="AC70"/>
  <c r="AC68"/>
  <c r="AC66"/>
  <c r="AC64"/>
  <c r="AC62"/>
  <c r="AC60"/>
  <c r="AC58"/>
  <c r="AC56"/>
  <c r="AC54"/>
  <c r="AC52"/>
  <c r="AC50"/>
  <c r="AC48"/>
  <c r="AC79"/>
  <c r="AC77"/>
  <c r="AC75"/>
  <c r="AC73"/>
  <c r="AC71"/>
  <c r="AC69"/>
  <c r="AC67"/>
  <c r="AC65"/>
  <c r="AC63"/>
  <c r="AC61"/>
  <c r="AC59"/>
  <c r="AC57"/>
  <c r="AC55"/>
  <c r="AC53"/>
  <c r="AC51"/>
  <c r="AC49"/>
  <c r="AC47"/>
  <c r="AC45"/>
  <c r="AC43"/>
  <c r="AC41"/>
  <c r="AC39"/>
  <c r="AC37"/>
  <c r="AC35"/>
  <c r="AC33"/>
  <c r="AC31"/>
  <c r="AC29"/>
  <c r="AC21"/>
  <c r="AC13"/>
  <c r="AC26"/>
  <c r="AC10"/>
  <c r="AC20"/>
  <c r="AC22"/>
  <c r="AC25"/>
  <c r="AC12"/>
  <c r="AC24"/>
  <c r="AD9"/>
  <c r="AC46"/>
  <c r="AC44"/>
  <c r="AC42"/>
  <c r="AC40"/>
  <c r="AC38"/>
  <c r="AC36"/>
  <c r="AC34"/>
  <c r="AC32"/>
  <c r="AC30"/>
  <c r="AC28"/>
  <c r="AC15"/>
  <c r="AC11"/>
  <c r="AC16"/>
  <c r="AC27"/>
  <c r="AC19"/>
  <c r="AC14"/>
  <c r="AC17"/>
  <c r="AC18"/>
  <c r="AC23"/>
  <c r="V9" i="17" l="1"/>
  <c r="U58"/>
  <c r="U52"/>
  <c r="AD113" i="8"/>
  <c r="AD111"/>
  <c r="AD109"/>
  <c r="AD107"/>
  <c r="AD105"/>
  <c r="AD103"/>
  <c r="AD101"/>
  <c r="AD99"/>
  <c r="AD97"/>
  <c r="AD114"/>
  <c r="AD112"/>
  <c r="AD110"/>
  <c r="AD108"/>
  <c r="AD106"/>
  <c r="AD104"/>
  <c r="AD102"/>
  <c r="AD100"/>
  <c r="AD95"/>
  <c r="AD93"/>
  <c r="AD91"/>
  <c r="AD89"/>
  <c r="AD87"/>
  <c r="AD85"/>
  <c r="AD83"/>
  <c r="AD81"/>
  <c r="AD98"/>
  <c r="AD96"/>
  <c r="AD94"/>
  <c r="AD92"/>
  <c r="AD90"/>
  <c r="AD88"/>
  <c r="AD86"/>
  <c r="AD84"/>
  <c r="AD82"/>
  <c r="AD80"/>
  <c r="AD79"/>
  <c r="AD77"/>
  <c r="AD75"/>
  <c r="AD73"/>
  <c r="AD71"/>
  <c r="AD69"/>
  <c r="AD67"/>
  <c r="AD65"/>
  <c r="AD63"/>
  <c r="AD61"/>
  <c r="AD59"/>
  <c r="AD57"/>
  <c r="AD55"/>
  <c r="AD53"/>
  <c r="AD51"/>
  <c r="AD49"/>
  <c r="AD47"/>
  <c r="AD78"/>
  <c r="AD76"/>
  <c r="AD74"/>
  <c r="AD72"/>
  <c r="AD70"/>
  <c r="AD68"/>
  <c r="AD66"/>
  <c r="AD64"/>
  <c r="AD62"/>
  <c r="AD60"/>
  <c r="AD58"/>
  <c r="AD56"/>
  <c r="AD54"/>
  <c r="AD52"/>
  <c r="AD50"/>
  <c r="AD48"/>
  <c r="AD46"/>
  <c r="AD44"/>
  <c r="AD42"/>
  <c r="AD40"/>
  <c r="AD38"/>
  <c r="AD36"/>
  <c r="AD34"/>
  <c r="AD32"/>
  <c r="AD30"/>
  <c r="AD28"/>
  <c r="AD24"/>
  <c r="AD22"/>
  <c r="AD10"/>
  <c r="AD13"/>
  <c r="AD15"/>
  <c r="AD20"/>
  <c r="AE9"/>
  <c r="AD16"/>
  <c r="AD26"/>
  <c r="AD45"/>
  <c r="AD43"/>
  <c r="AD41"/>
  <c r="AD39"/>
  <c r="AD37"/>
  <c r="AD35"/>
  <c r="AD33"/>
  <c r="AD31"/>
  <c r="AD29"/>
  <c r="AD19"/>
  <c r="AD17"/>
  <c r="AD21"/>
  <c r="AD12"/>
  <c r="AD27"/>
  <c r="AD25"/>
  <c r="AD11"/>
  <c r="AD23"/>
  <c r="AD14"/>
  <c r="AD18"/>
  <c r="AE114" l="1"/>
  <c r="AE112"/>
  <c r="AE110"/>
  <c r="AE108"/>
  <c r="AE106"/>
  <c r="AE104"/>
  <c r="AE102"/>
  <c r="AE100"/>
  <c r="AE98"/>
  <c r="AE113"/>
  <c r="AE111"/>
  <c r="AE109"/>
  <c r="AE107"/>
  <c r="AE105"/>
  <c r="AE103"/>
  <c r="AE101"/>
  <c r="AE99"/>
  <c r="AE96"/>
  <c r="AE94"/>
  <c r="AE92"/>
  <c r="AE90"/>
  <c r="AE88"/>
  <c r="AE86"/>
  <c r="AE84"/>
  <c r="AE82"/>
  <c r="AE80"/>
  <c r="AE97"/>
  <c r="AE95"/>
  <c r="AE93"/>
  <c r="AE91"/>
  <c r="AE89"/>
  <c r="AE87"/>
  <c r="AE85"/>
  <c r="AE83"/>
  <c r="AE81"/>
  <c r="AE78"/>
  <c r="AE76"/>
  <c r="AE74"/>
  <c r="AE72"/>
  <c r="AE70"/>
  <c r="AE68"/>
  <c r="AE66"/>
  <c r="AE64"/>
  <c r="AE62"/>
  <c r="AE60"/>
  <c r="AE58"/>
  <c r="AE56"/>
  <c r="AE54"/>
  <c r="AE52"/>
  <c r="AE50"/>
  <c r="AE48"/>
  <c r="AE79"/>
  <c r="AE77"/>
  <c r="AE75"/>
  <c r="AE73"/>
  <c r="AE71"/>
  <c r="AE69"/>
  <c r="AE67"/>
  <c r="AE65"/>
  <c r="AE63"/>
  <c r="AE61"/>
  <c r="AE59"/>
  <c r="AE57"/>
  <c r="AE55"/>
  <c r="AE53"/>
  <c r="AE51"/>
  <c r="AE49"/>
  <c r="AE47"/>
  <c r="AE45"/>
  <c r="AE46"/>
  <c r="AE43"/>
  <c r="AE41"/>
  <c r="AE39"/>
  <c r="AE37"/>
  <c r="AE35"/>
  <c r="AE33"/>
  <c r="AE31"/>
  <c r="AE29"/>
  <c r="AE17"/>
  <c r="AE19"/>
  <c r="AE27"/>
  <c r="AE22"/>
  <c r="AE20"/>
  <c r="AE21"/>
  <c r="AE26"/>
  <c r="AE24"/>
  <c r="AE16"/>
  <c r="AE15"/>
  <c r="AE44"/>
  <c r="AE42"/>
  <c r="AE40"/>
  <c r="AE38"/>
  <c r="AE36"/>
  <c r="AE34"/>
  <c r="AE32"/>
  <c r="AE30"/>
  <c r="AE28"/>
  <c r="AE14"/>
  <c r="AF9"/>
  <c r="AE23"/>
  <c r="AE10"/>
  <c r="AE13"/>
  <c r="AE25"/>
  <c r="AE12"/>
  <c r="AE11"/>
  <c r="AE18"/>
  <c r="V52" i="17"/>
  <c r="W9"/>
  <c r="V58"/>
  <c r="X9" l="1"/>
  <c r="W52"/>
  <c r="W58"/>
  <c r="AF113" i="8"/>
  <c r="AF111"/>
  <c r="AF109"/>
  <c r="AF107"/>
  <c r="AF105"/>
  <c r="AF103"/>
  <c r="AF101"/>
  <c r="AF99"/>
  <c r="AF97"/>
  <c r="AF114"/>
  <c r="AF112"/>
  <c r="AF110"/>
  <c r="AF108"/>
  <c r="AF106"/>
  <c r="AF104"/>
  <c r="AF102"/>
  <c r="AF100"/>
  <c r="AF98"/>
  <c r="AF95"/>
  <c r="AF93"/>
  <c r="AF91"/>
  <c r="AF89"/>
  <c r="AF87"/>
  <c r="AF85"/>
  <c r="AF83"/>
  <c r="AF81"/>
  <c r="AF96"/>
  <c r="AF94"/>
  <c r="AF92"/>
  <c r="AF90"/>
  <c r="AF88"/>
  <c r="AF86"/>
  <c r="AF84"/>
  <c r="AF82"/>
  <c r="AF80"/>
  <c r="AF79"/>
  <c r="AF77"/>
  <c r="AF75"/>
  <c r="AF73"/>
  <c r="AF71"/>
  <c r="AF69"/>
  <c r="AF67"/>
  <c r="AF65"/>
  <c r="AF63"/>
  <c r="AF61"/>
  <c r="AF59"/>
  <c r="AF57"/>
  <c r="AF55"/>
  <c r="AF53"/>
  <c r="AF51"/>
  <c r="AF49"/>
  <c r="AF47"/>
  <c r="AF78"/>
  <c r="AF76"/>
  <c r="AF74"/>
  <c r="AF72"/>
  <c r="AF70"/>
  <c r="AF68"/>
  <c r="AF66"/>
  <c r="AF64"/>
  <c r="AF62"/>
  <c r="AF60"/>
  <c r="AF58"/>
  <c r="AF56"/>
  <c r="AF54"/>
  <c r="AF52"/>
  <c r="AF50"/>
  <c r="AF48"/>
  <c r="AF46"/>
  <c r="AF45"/>
  <c r="AF44"/>
  <c r="AF42"/>
  <c r="AF40"/>
  <c r="AF38"/>
  <c r="AF36"/>
  <c r="AF34"/>
  <c r="AF32"/>
  <c r="AF30"/>
  <c r="AF28"/>
  <c r="AF22"/>
  <c r="AF21"/>
  <c r="AF18"/>
  <c r="AF13"/>
  <c r="AF17"/>
  <c r="AF10"/>
  <c r="AF20"/>
  <c r="AF25"/>
  <c r="AF16"/>
  <c r="AF43"/>
  <c r="AF41"/>
  <c r="AF39"/>
  <c r="AF37"/>
  <c r="AF35"/>
  <c r="AF33"/>
  <c r="AF31"/>
  <c r="AF29"/>
  <c r="AF26"/>
  <c r="AF23"/>
  <c r="AF19"/>
  <c r="AG9"/>
  <c r="AF12"/>
  <c r="AF27"/>
  <c r="AF11"/>
  <c r="AF24"/>
  <c r="AF14"/>
  <c r="AF15"/>
  <c r="AG114" l="1"/>
  <c r="AG112"/>
  <c r="AG110"/>
  <c r="AG108"/>
  <c r="AG106"/>
  <c r="AG104"/>
  <c r="AG102"/>
  <c r="AG100"/>
  <c r="AG98"/>
  <c r="AG113"/>
  <c r="AG111"/>
  <c r="AG109"/>
  <c r="AG107"/>
  <c r="AG105"/>
  <c r="AG103"/>
  <c r="AG101"/>
  <c r="AG99"/>
  <c r="AG97"/>
  <c r="AG96"/>
  <c r="AG94"/>
  <c r="AG92"/>
  <c r="AG90"/>
  <c r="AG88"/>
  <c r="AG86"/>
  <c r="AG84"/>
  <c r="AG82"/>
  <c r="AG80"/>
  <c r="AG95"/>
  <c r="AG93"/>
  <c r="AG91"/>
  <c r="AG89"/>
  <c r="AG87"/>
  <c r="AG85"/>
  <c r="AG83"/>
  <c r="AG81"/>
  <c r="AG78"/>
  <c r="AG76"/>
  <c r="AG74"/>
  <c r="AG72"/>
  <c r="AG70"/>
  <c r="AG68"/>
  <c r="AG66"/>
  <c r="AG64"/>
  <c r="AG62"/>
  <c r="AG60"/>
  <c r="AG58"/>
  <c r="AG56"/>
  <c r="AG54"/>
  <c r="AG52"/>
  <c r="AG50"/>
  <c r="AG48"/>
  <c r="AG79"/>
  <c r="AG77"/>
  <c r="AG75"/>
  <c r="AG73"/>
  <c r="AG71"/>
  <c r="AG69"/>
  <c r="AG67"/>
  <c r="AG65"/>
  <c r="AG63"/>
  <c r="AG61"/>
  <c r="AG59"/>
  <c r="AG57"/>
  <c r="AG55"/>
  <c r="AG53"/>
  <c r="AG51"/>
  <c r="AG49"/>
  <c r="AG47"/>
  <c r="AG45"/>
  <c r="AG43"/>
  <c r="AG41"/>
  <c r="AG39"/>
  <c r="AG37"/>
  <c r="AG35"/>
  <c r="AG33"/>
  <c r="AG31"/>
  <c r="AG29"/>
  <c r="AG19"/>
  <c r="AG23"/>
  <c r="AG24"/>
  <c r="AG21"/>
  <c r="AG26"/>
  <c r="AG14"/>
  <c r="AG16"/>
  <c r="AG13"/>
  <c r="AG10"/>
  <c r="AG25"/>
  <c r="AG46"/>
  <c r="AG44"/>
  <c r="AG42"/>
  <c r="AG40"/>
  <c r="AG38"/>
  <c r="AG36"/>
  <c r="AG34"/>
  <c r="AG32"/>
  <c r="AG30"/>
  <c r="AG28"/>
  <c r="AG17"/>
  <c r="AG15"/>
  <c r="AG12"/>
  <c r="AG22"/>
  <c r="AG20"/>
  <c r="AG18"/>
  <c r="AG11"/>
  <c r="AH9"/>
  <c r="AG27"/>
  <c r="Y9" i="17"/>
  <c r="X52"/>
  <c r="X58"/>
  <c r="Z9" l="1"/>
  <c r="Y58"/>
  <c r="Y52"/>
  <c r="AH113" i="8"/>
  <c r="AH111"/>
  <c r="AH109"/>
  <c r="AH107"/>
  <c r="AH105"/>
  <c r="AH103"/>
  <c r="AH101"/>
  <c r="AH99"/>
  <c r="AH97"/>
  <c r="AH114"/>
  <c r="AH112"/>
  <c r="AH110"/>
  <c r="AH108"/>
  <c r="AH106"/>
  <c r="AH104"/>
  <c r="AH102"/>
  <c r="AH100"/>
  <c r="AH95"/>
  <c r="AH93"/>
  <c r="AH91"/>
  <c r="AH89"/>
  <c r="AH87"/>
  <c r="AH85"/>
  <c r="AH83"/>
  <c r="AH81"/>
  <c r="AH98"/>
  <c r="AH96"/>
  <c r="AH94"/>
  <c r="AH92"/>
  <c r="AH90"/>
  <c r="AH88"/>
  <c r="AH86"/>
  <c r="AH84"/>
  <c r="AH82"/>
  <c r="AH80"/>
  <c r="AH79"/>
  <c r="AH77"/>
  <c r="AH75"/>
  <c r="AH73"/>
  <c r="AH71"/>
  <c r="AH69"/>
  <c r="AH67"/>
  <c r="AH65"/>
  <c r="AH63"/>
  <c r="AH61"/>
  <c r="AH59"/>
  <c r="AH57"/>
  <c r="AH55"/>
  <c r="AH53"/>
  <c r="AH51"/>
  <c r="AH49"/>
  <c r="AH47"/>
  <c r="AH78"/>
  <c r="AH76"/>
  <c r="AH74"/>
  <c r="AH72"/>
  <c r="AH70"/>
  <c r="AH68"/>
  <c r="AH66"/>
  <c r="AH64"/>
  <c r="AH62"/>
  <c r="AH60"/>
  <c r="AH58"/>
  <c r="AH56"/>
  <c r="AH54"/>
  <c r="AH52"/>
  <c r="AH50"/>
  <c r="AH48"/>
  <c r="AH46"/>
  <c r="AH44"/>
  <c r="AH42"/>
  <c r="AH40"/>
  <c r="AH38"/>
  <c r="AH36"/>
  <c r="AH34"/>
  <c r="AH32"/>
  <c r="AH30"/>
  <c r="AH28"/>
  <c r="AH15"/>
  <c r="AH26"/>
  <c r="AH19"/>
  <c r="AH21"/>
  <c r="AH12"/>
  <c r="AH23"/>
  <c r="AH14"/>
  <c r="AH24"/>
  <c r="AH22"/>
  <c r="AH45"/>
  <c r="AH43"/>
  <c r="AH41"/>
  <c r="AH39"/>
  <c r="AH37"/>
  <c r="AH35"/>
  <c r="AH33"/>
  <c r="AH31"/>
  <c r="AH29"/>
  <c r="AH27"/>
  <c r="AH18"/>
  <c r="AH16"/>
  <c r="AH13"/>
  <c r="AH11"/>
  <c r="AH10"/>
  <c r="AH20"/>
  <c r="AH25"/>
  <c r="AH17"/>
  <c r="Z52" i="17" l="1"/>
  <c r="Z58"/>
  <c r="AA9"/>
  <c r="AB9" l="1"/>
  <c r="AA58"/>
  <c r="AA52"/>
  <c r="AB52" l="1"/>
  <c r="AB58"/>
  <c r="AC9"/>
  <c r="AD9" l="1"/>
  <c r="AC58"/>
  <c r="AC52"/>
  <c r="AE9" l="1"/>
  <c r="AD52"/>
  <c r="AD58"/>
  <c r="AF9" l="1"/>
  <c r="AE52"/>
  <c r="AE58"/>
  <c r="AG9" l="1"/>
  <c r="AF52"/>
  <c r="AF58"/>
  <c r="AH9" l="1"/>
  <c r="AG52"/>
  <c r="AG58"/>
  <c r="AH52" l="1"/>
  <c r="AI9"/>
  <c r="AH58"/>
  <c r="AJ9" l="1"/>
  <c r="AI58"/>
  <c r="AI52"/>
  <c r="AJ52" l="1"/>
  <c r="AK9"/>
  <c r="AJ58"/>
  <c r="AL9" l="1"/>
  <c r="AK52"/>
  <c r="AK58"/>
  <c r="AL58" l="1"/>
  <c r="AL52"/>
</calcChain>
</file>

<file path=xl/sharedStrings.xml><?xml version="1.0" encoding="utf-8"?>
<sst xmlns="http://schemas.openxmlformats.org/spreadsheetml/2006/main" count="5143" uniqueCount="493">
  <si>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</si>
  <si>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</si>
  <si>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</si>
  <si>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</si>
  <si>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</si>
  <si>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</si>
  <si>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</si>
  <si>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</si>
  <si>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</si>
  <si>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</si>
  <si>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</si>
  <si>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</si>
  <si>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</si>
  <si>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</si>
  <si>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</si>
  <si>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</si>
  <si>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</si>
  <si>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</si>
  <si>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</si>
  <si>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</si>
  <si>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</si>
  <si>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</si>
  <si>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</si>
  <si>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</si>
  <si>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</si>
  <si>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</si>
  <si>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</si>
  <si>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</si>
  <si>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</si>
  <si>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</si>
  <si>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</si>
  <si>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</si>
  <si>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</si>
  <si>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</si>
  <si>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</si>
  <si>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</si>
  <si>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</si>
  <si>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</si>
  <si>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</si>
  <si>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</si>
  <si>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</si>
  <si>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</si>
  <si>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</si>
  <si>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</si>
  <si>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</si>
  <si>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</si>
  <si>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</si>
  <si>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</si>
  <si>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</si>
  <si>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</si>
  <si>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</si>
  <si>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</si>
  <si>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</si>
  <si>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</si>
  <si>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</si>
  <si>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</si>
  <si>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</si>
  <si>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</si>
  <si>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</si>
  <si>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</si>
  <si>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</si>
  <si>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</si>
  <si>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</si>
  <si>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</si>
  <si>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</si>
  <si>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</si>
  <si>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</si>
  <si>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</si>
  <si>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</si>
  <si>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</si>
  <si>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</si>
  <si>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</si>
  <si>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</si>
  <si>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</si>
  <si>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</si>
  <si>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</si>
  <si>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</si>
  <si>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</si>
  <si>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</si>
  <si>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</si>
  <si>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</si>
  <si>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</si>
  <si>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</si>
  <si>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</si>
  <si>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</si>
  <si>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</si>
  <si>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</si>
  <si>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</si>
  <si>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</si>
  <si>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</si>
  <si>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</si>
  <si>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</si>
  <si>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</si>
  <si>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</si>
  <si>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</si>
  <si>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</si>
  <si>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</si>
  <si>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</si>
  <si>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</si>
  <si>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</si>
  <si>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</si>
  <si>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</si>
  <si>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</si>
  <si>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</si>
  <si>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</si>
  <si>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</si>
  <si>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</si>
  <si>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</si>
  <si>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</si>
  <si>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</si>
  <si>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</si>
  <si>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</si>
  <si>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</si>
  <si>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</si>
  <si>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</si>
  <si>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</si>
  <si>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</si>
  <si>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</si>
  <si>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</si>
  <si>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</si>
  <si>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</si>
  <si>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</si>
  <si>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</si>
  <si>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</si>
  <si>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</si>
  <si>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</si>
  <si>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</si>
  <si>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</si>
  <si>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</si>
  <si>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</si>
  <si>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</si>
  <si>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</si>
  <si>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</si>
  <si>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</si>
  <si>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</si>
  <si>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</si>
  <si>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</si>
  <si>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</si>
  <si>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</si>
  <si>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</si>
  <si>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</si>
  <si>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</si>
  <si>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</si>
  <si>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</si>
  <si>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</si>
  <si>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</si>
  <si>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</si>
  <si>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</si>
  <si>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</si>
  <si>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</si>
  <si>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</si>
  <si>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</si>
  <si>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</si>
  <si>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</si>
  <si>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</si>
  <si>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</si>
  <si>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</si>
  <si>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</si>
  <si>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</si>
  <si>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</si>
  <si>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</si>
  <si>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</si>
  <si>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</si>
  <si>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</si>
  <si>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</si>
  <si>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</si>
  <si>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</si>
  <si>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</si>
  <si>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</si>
  <si>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</si>
  <si>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</si>
  <si>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</si>
  <si>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</si>
  <si>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</si>
  <si>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</si>
  <si>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</si>
  <si>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</si>
  <si>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</si>
  <si>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</si>
  <si>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</si>
  <si>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</si>
  <si>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</si>
  <si>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</si>
  <si>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</si>
  <si>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</si>
  <si>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</si>
  <si>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</si>
  <si>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</si>
  <si>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</si>
  <si>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</si>
  <si>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</si>
  <si>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</si>
  <si>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</si>
  <si>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</si>
  <si>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</si>
  <si>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</si>
  <si>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</si>
  <si>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</si>
  <si>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</si>
  <si>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</si>
  <si>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</si>
  <si>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</si>
  <si>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</si>
  <si>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</si>
  <si>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</si>
  <si>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</si>
  <si>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</si>
  <si>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</si>
  <si>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</si>
  <si>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</si>
  <si>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</si>
  <si>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</si>
  <si>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Układ WPF wg Rozporządzenia Ministra Finansów z dnia 10.01.2013 (Dz.U. z 2013 r., poz. 86)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</si>
  <si>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</si>
  <si>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</si>
  <si>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</si>
  <si>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</si>
  <si>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</si>
  <si>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</si>
  <si>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</si>
  <si>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</si>
  <si>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</si>
  <si>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</si>
  <si>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</si>
  <si>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</si>
  <si>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</si>
  <si>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</si>
  <si>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</si>
  <si>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</si>
  <si>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</si>
  <si>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</si>
  <si>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</si>
  <si>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</si>
  <si>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</si>
  <si>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</si>
  <si>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</si>
  <si>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</si>
  <si>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</si>
  <si>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</si>
  <si>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</si>
  <si>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</si>
  <si>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</si>
  <si>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</si>
  <si>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</si>
  <si>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</si>
  <si>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</si>
  <si>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</si>
  <si>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</si>
  <si>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</si>
  <si>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</si>
  <si>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</si>
  <si>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</si>
  <si>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</si>
  <si>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</si>
  <si>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</si>
  <si>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</si>
  <si>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</si>
  <si>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</si>
  <si>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</si>
  <si>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</si>
  <si>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</si>
  <si>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</si>
  <si>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</si>
  <si>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</si>
  <si>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</si>
  <si>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</si>
  <si>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</si>
  <si>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</si>
  <si>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</si>
  <si>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</si>
  <si>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</si>
  <si>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</si>
  <si>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</si>
  <si>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</si>
  <si>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</si>
  <si>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</si>
  <si>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</si>
  <si>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</si>
  <si>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</si>
  <si>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</si>
  <si>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</si>
  <si>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</si>
  <si>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</si>
  <si>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</si>
  <si>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</si>
  <si>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</si>
  <si>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</si>
  <si>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</si>
  <si>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</si>
  <si>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</si>
  <si>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</si>
  <si>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</si>
  <si>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</si>
  <si>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</si>
  <si>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</si>
  <si>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</si>
  <si>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</si>
  <si>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</si>
  <si>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</si>
  <si>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</si>
  <si>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</si>
  <si>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</si>
  <si>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</si>
  <si>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</si>
  <si>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</si>
  <si>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</si>
  <si>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</si>
  <si>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</si>
  <si>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</si>
  <si>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</si>
  <si>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</si>
  <si>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</si>
  <si>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</si>
  <si>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</si>
  <si>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</si>
  <si>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</si>
  <si>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</si>
  <si>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</si>
  <si>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</si>
  <si>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</si>
  <si>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</si>
  <si>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</si>
  <si>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</si>
  <si>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</si>
  <si>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</si>
  <si>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Do symulacji prognozy i obserwacji zmian wskaźników z art. 243, 169 i 170 na podstawie danych wprowadzanych ręcznie służy arkusz "WPF_AnalizaWsk_Projektowanie"</t>
  </si>
  <si>
    <t>Zestawienie wygenerowane na podstawie danych wprowadzonych do systemu BESTI@</t>
  </si>
  <si>
    <t>Niniejsze zestawienie można samodzielnie formatować i modyfikować wartości</t>
  </si>
  <si>
    <t>-</t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</si>
  <si>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</si>
  <si>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</si>
  <si>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</si>
  <si>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</si>
  <si>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t>Nr Uchwały:</t>
  </si>
  <si>
    <t>Plan 3 kw.</t>
  </si>
  <si>
    <t xml:space="preserve">Wykonanie </t>
  </si>
  <si>
    <t>DYNAMIKA podstawowych wielkości z prognozy</t>
  </si>
  <si>
    <t>WIELKOŚĆ ZMIAN w podstawowych kwotach prognozy</t>
  </si>
  <si>
    <t>PODSTAWOWE wielkości ujęte w prognozie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</si>
  <si>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</si>
  <si>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</si>
  <si>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</si>
  <si>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</si>
  <si>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</si>
  <si>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</si>
  <si>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</si>
  <si>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</si>
  <si>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</si>
  <si>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</si>
  <si>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</si>
  <si>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</si>
  <si>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</si>
  <si>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</si>
  <si>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charset val="238"/>
      </rPr>
      <t xml:space="preserve">- wartości różne od zera wymagają objaśnienia </t>
    </r>
    <r>
      <rPr>
        <sz val="9"/>
        <rFont val="Czcionka tekstu podstawowego"/>
        <charset val="238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</si>
  <si>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</si>
  <si>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</si>
  <si>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</si>
  <si>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</si>
  <si>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</si>
  <si>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</si>
  <si>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</si>
  <si>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</si>
  <si>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</si>
  <si>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</si>
  <si>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</si>
  <si>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</si>
  <si>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</si>
  <si>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</si>
  <si>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</si>
  <si>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</si>
  <si>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</si>
  <si>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</si>
  <si>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</si>
  <si>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</si>
  <si>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</si>
  <si>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</si>
  <si>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</si>
  <si>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</si>
  <si>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</si>
  <si>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</si>
  <si>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</si>
  <si>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</si>
  <si>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</si>
  <si>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</si>
  <si>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</si>
  <si>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</si>
  <si>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</si>
  <si>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</si>
  <si>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</si>
  <si>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</si>
  <si>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</si>
  <si>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</si>
  <si>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</si>
  <si>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</si>
  <si>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</si>
  <si>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</si>
  <si>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</si>
  <si>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</si>
  <si>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</si>
  <si>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</si>
  <si>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</si>
  <si>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</si>
  <si>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</si>
  <si>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</si>
  <si>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</si>
  <si>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</si>
  <si>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</si>
  <si>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</si>
  <si>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</si>
  <si>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</si>
  <si>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</si>
  <si>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</si>
  <si>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</si>
  <si>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</si>
  <si>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</si>
  <si>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</si>
  <si>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</si>
  <si>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</si>
  <si>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</si>
  <si>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</si>
  <si>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</si>
  <si>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</si>
  <si>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</si>
  <si>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</si>
  <si>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</si>
  <si>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Układ WPF wg Rozporządzenia Ministra Finansów z dnia 10.01.2013 po zmianie z Dz.U. z 2013 r., poz. 1736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</si>
  <si>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</si>
  <si>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</si>
  <si>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</si>
  <si>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</si>
  <si>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</si>
  <si>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</si>
  <si>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</si>
  <si>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</si>
  <si>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</si>
  <si>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</si>
  <si>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</si>
  <si>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</si>
  <si>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</si>
  <si>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</si>
  <si>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</si>
  <si>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</si>
  <si>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</si>
  <si>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</si>
  <si>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</si>
  <si>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</si>
  <si>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</si>
  <si>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</si>
  <si>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</si>
  <si>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</si>
  <si>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</si>
  <si>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</si>
  <si>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</si>
  <si>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</si>
  <si>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</si>
  <si>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</si>
  <si>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</si>
  <si>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</si>
  <si>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</si>
  <si>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</si>
  <si>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</si>
  <si>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</si>
  <si>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</si>
  <si>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</si>
  <si>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</si>
  <si>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</si>
  <si>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</si>
  <si>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</si>
  <si>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</si>
  <si>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</si>
  <si>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</si>
  <si>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</si>
  <si>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</si>
  <si>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</si>
  <si>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</si>
  <si>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</si>
  <si>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</si>
  <si>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</si>
  <si>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</si>
  <si>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</si>
  <si>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</si>
  <si>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</si>
  <si>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</si>
  <si>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</si>
  <si>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</si>
  <si>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</si>
  <si>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</si>
  <si>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</si>
  <si>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</si>
  <si>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XXIV/190/2014</t>
  </si>
  <si>
    <t>KRZYŻANÓW</t>
  </si>
  <si>
    <t>[2.1] + [2.2]</t>
  </si>
  <si>
    <t>[1.1] + [1.2]</t>
  </si>
</sst>
</file>

<file path=xl/styles.xml><?xml version="1.0" encoding="utf-8"?>
<styleSheet xmlns="http://schemas.openxmlformats.org/spreadsheetml/2006/main">
  <numFmts count="3">
    <numFmt numFmtId="166" formatCode="#,##0.00_ ;[Red]\-#,##0.00\ "/>
    <numFmt numFmtId="169" formatCode="0.0%"/>
    <numFmt numFmtId="175" formatCode="0.00%;[Red]\-0.00%"/>
  </numFmts>
  <fonts count="85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Czcionka tekstu podstawowego"/>
      <charset val="238"/>
    </font>
    <font>
      <b/>
      <sz val="9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9"/>
      <name val="Czcionka tekstu podstawowego"/>
      <charset val="238"/>
    </font>
    <font>
      <b/>
      <sz val="1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Czcionka tekstu podstawowego"/>
      <charset val="238"/>
    </font>
    <font>
      <b/>
      <sz val="8"/>
      <color indexed="8"/>
      <name val="Czcionka tekstu podstawowego"/>
      <charset val="238"/>
    </font>
    <font>
      <sz val="10"/>
      <color indexed="8"/>
      <name val="Times New Roman"/>
      <family val="1"/>
      <charset val="238"/>
    </font>
    <font>
      <b/>
      <i/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9"/>
      <color indexed="10"/>
      <name val="Czcionka tekstu podstawowego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10"/>
      <color indexed="10"/>
      <name val="Czcionka tekstu podstawowego"/>
      <charset val="238"/>
    </font>
    <font>
      <b/>
      <i/>
      <sz val="9"/>
      <color indexed="10"/>
      <name val="Czcionka tekstu podstawowego"/>
      <charset val="238"/>
    </font>
    <font>
      <b/>
      <sz val="11"/>
      <color indexed="10"/>
      <name val="Czcionka tekstu podstawowego"/>
      <charset val="238"/>
    </font>
    <font>
      <b/>
      <i/>
      <sz val="12"/>
      <color indexed="10"/>
      <name val="Czcionka tekstu podstawowego"/>
      <charset val="238"/>
    </font>
    <font>
      <sz val="12"/>
      <color indexed="8"/>
      <name val="Czcionka tekstu podstawowego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9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9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6">
    <xf numFmtId="0" fontId="0" fillId="0" borderId="0"/>
    <xf numFmtId="0" fontId="1" fillId="2" borderId="0" applyNumberFormat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3" borderId="0" applyNumberFormat="0" applyBorder="0" applyAlignment="0" applyProtection="0"/>
    <xf numFmtId="0" fontId="1" fillId="4" borderId="0" applyNumberFormat="0" applyBorder="0" applyAlignment="0" applyProtection="0"/>
    <xf numFmtId="0" fontId="68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33" borderId="0" applyNumberFormat="0" applyBorder="0" applyAlignment="0" applyProtection="0"/>
    <xf numFmtId="0" fontId="1" fillId="7" borderId="0" applyNumberFormat="0" applyBorder="0" applyAlignment="0" applyProtection="0"/>
    <xf numFmtId="0" fontId="68" fillId="34" borderId="0" applyNumberFormat="0" applyBorder="0" applyAlignment="0" applyProtection="0"/>
    <xf numFmtId="0" fontId="1" fillId="8" borderId="0" applyNumberFormat="0" applyBorder="0" applyAlignment="0" applyProtection="0"/>
    <xf numFmtId="0" fontId="68" fillId="35" borderId="0" applyNumberFormat="0" applyBorder="0" applyAlignment="0" applyProtection="0"/>
    <xf numFmtId="0" fontId="1" fillId="9" borderId="0" applyNumberFormat="0" applyBorder="0" applyAlignment="0" applyProtection="0"/>
    <xf numFmtId="0" fontId="68" fillId="36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5" borderId="0" applyNumberFormat="0" applyBorder="0" applyAlignment="0" applyProtection="0"/>
    <xf numFmtId="0" fontId="68" fillId="37" borderId="0" applyNumberFormat="0" applyBorder="0" applyAlignment="0" applyProtection="0"/>
    <xf numFmtId="0" fontId="1" fillId="8" borderId="0" applyNumberFormat="0" applyBorder="0" applyAlignment="0" applyProtection="0"/>
    <xf numFmtId="0" fontId="68" fillId="38" borderId="0" applyNumberFormat="0" applyBorder="0" applyAlignment="0" applyProtection="0"/>
    <xf numFmtId="0" fontId="1" fillId="11" borderId="0" applyNumberFormat="0" applyBorder="0" applyAlignment="0" applyProtection="0"/>
    <xf numFmtId="0" fontId="68" fillId="39" borderId="0" applyNumberFormat="0" applyBorder="0" applyAlignment="0" applyProtection="0"/>
    <xf numFmtId="0" fontId="12" fillId="12" borderId="0" applyNumberFormat="0" applyBorder="0" applyAlignment="0" applyProtection="0"/>
    <xf numFmtId="0" fontId="69" fillId="40" borderId="0" applyNumberFormat="0" applyBorder="0" applyAlignment="0" applyProtection="0"/>
    <xf numFmtId="0" fontId="12" fillId="9" borderId="0" applyNumberFormat="0" applyBorder="0" applyAlignment="0" applyProtection="0"/>
    <xf numFmtId="0" fontId="69" fillId="41" borderId="0" applyNumberFormat="0" applyBorder="0" applyAlignment="0" applyProtection="0"/>
    <xf numFmtId="0" fontId="12" fillId="10" borderId="0" applyNumberFormat="0" applyBorder="0" applyAlignment="0" applyProtection="0"/>
    <xf numFmtId="0" fontId="69" fillId="10" borderId="0" applyNumberFormat="0" applyBorder="0" applyAlignment="0" applyProtection="0"/>
    <xf numFmtId="0" fontId="12" fillId="13" borderId="0" applyNumberFormat="0" applyBorder="0" applyAlignment="0" applyProtection="0"/>
    <xf numFmtId="0" fontId="69" fillId="13" borderId="0" applyNumberFormat="0" applyBorder="0" applyAlignment="0" applyProtection="0"/>
    <xf numFmtId="0" fontId="12" fillId="14" borderId="0" applyNumberFormat="0" applyBorder="0" applyAlignment="0" applyProtection="0"/>
    <xf numFmtId="0" fontId="69" fillId="42" borderId="0" applyNumberFormat="0" applyBorder="0" applyAlignment="0" applyProtection="0"/>
    <xf numFmtId="0" fontId="12" fillId="15" borderId="0" applyNumberFormat="0" applyBorder="0" applyAlignment="0" applyProtection="0"/>
    <xf numFmtId="0" fontId="69" fillId="15" borderId="0" applyNumberFormat="0" applyBorder="0" applyAlignment="0" applyProtection="0"/>
    <xf numFmtId="0" fontId="12" fillId="16" borderId="0" applyNumberFormat="0" applyBorder="0" applyAlignment="0" applyProtection="0"/>
    <xf numFmtId="0" fontId="69" fillId="43" borderId="0" applyNumberFormat="0" applyBorder="0" applyAlignment="0" applyProtection="0"/>
    <xf numFmtId="0" fontId="12" fillId="17" borderId="0" applyNumberFormat="0" applyBorder="0" applyAlignment="0" applyProtection="0"/>
    <xf numFmtId="0" fontId="69" fillId="44" borderId="0" applyNumberFormat="0" applyBorder="0" applyAlignment="0" applyProtection="0"/>
    <xf numFmtId="0" fontId="12" fillId="18" borderId="0" applyNumberFormat="0" applyBorder="0" applyAlignment="0" applyProtection="0"/>
    <xf numFmtId="0" fontId="69" fillId="45" borderId="0" applyNumberFormat="0" applyBorder="0" applyAlignment="0" applyProtection="0"/>
    <xf numFmtId="0" fontId="12" fillId="13" borderId="0" applyNumberFormat="0" applyBorder="0" applyAlignment="0" applyProtection="0"/>
    <xf numFmtId="0" fontId="69" fillId="46" borderId="0" applyNumberFormat="0" applyBorder="0" applyAlignment="0" applyProtection="0"/>
    <xf numFmtId="0" fontId="12" fillId="14" borderId="0" applyNumberFormat="0" applyBorder="0" applyAlignment="0" applyProtection="0"/>
    <xf numFmtId="0" fontId="69" fillId="47" borderId="0" applyNumberFormat="0" applyBorder="0" applyAlignment="0" applyProtection="0"/>
    <xf numFmtId="0" fontId="12" fillId="19" borderId="0" applyNumberFormat="0" applyBorder="0" applyAlignment="0" applyProtection="0"/>
    <xf numFmtId="0" fontId="69" fillId="48" borderId="0" applyNumberFormat="0" applyBorder="0" applyAlignment="0" applyProtection="0"/>
    <xf numFmtId="0" fontId="13" fillId="7" borderId="1" applyNumberFormat="0" applyAlignment="0" applyProtection="0"/>
    <xf numFmtId="0" fontId="70" fillId="49" borderId="41" applyNumberFormat="0" applyAlignment="0" applyProtection="0"/>
    <xf numFmtId="0" fontId="14" fillId="20" borderId="2" applyNumberFormat="0" applyAlignment="0" applyProtection="0"/>
    <xf numFmtId="0" fontId="71" fillId="50" borderId="42" applyNumberFormat="0" applyAlignment="0" applyProtection="0"/>
    <xf numFmtId="0" fontId="15" fillId="4" borderId="0" applyNumberFormat="0" applyBorder="0" applyAlignment="0" applyProtection="0"/>
    <xf numFmtId="0" fontId="72" fillId="51" borderId="0" applyNumberFormat="0" applyBorder="0" applyAlignment="0" applyProtection="0"/>
    <xf numFmtId="0" fontId="16" fillId="0" borderId="3" applyNumberFormat="0" applyFill="0" applyAlignment="0" applyProtection="0"/>
    <xf numFmtId="0" fontId="73" fillId="0" borderId="43" applyNumberFormat="0" applyFill="0" applyAlignment="0" applyProtection="0"/>
    <xf numFmtId="0" fontId="17" fillId="21" borderId="4" applyNumberFormat="0" applyAlignment="0" applyProtection="0"/>
    <xf numFmtId="0" fontId="74" fillId="52" borderId="44" applyNumberFormat="0" applyAlignment="0" applyProtection="0"/>
    <xf numFmtId="0" fontId="18" fillId="0" borderId="5" applyNumberFormat="0" applyFill="0" applyAlignment="0" applyProtection="0"/>
    <xf numFmtId="0" fontId="75" fillId="0" borderId="45" applyNumberFormat="0" applyFill="0" applyAlignment="0" applyProtection="0"/>
    <xf numFmtId="0" fontId="19" fillId="0" borderId="6" applyNumberFormat="0" applyFill="0" applyAlignment="0" applyProtection="0"/>
    <xf numFmtId="0" fontId="76" fillId="0" borderId="46" applyNumberFormat="0" applyFill="0" applyAlignment="0" applyProtection="0"/>
    <xf numFmtId="0" fontId="20" fillId="0" borderId="7" applyNumberFormat="0" applyFill="0" applyAlignment="0" applyProtection="0"/>
    <xf numFmtId="0" fontId="77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8" fillId="53" borderId="0" applyNumberFormat="0" applyBorder="0" applyAlignment="0" applyProtection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8" fillId="0" borderId="0"/>
    <xf numFmtId="0" fontId="6" fillId="0" borderId="0"/>
    <xf numFmtId="0" fontId="68" fillId="0" borderId="0"/>
    <xf numFmtId="0" fontId="22" fillId="20" borderId="1" applyNumberFormat="0" applyAlignment="0" applyProtection="0"/>
    <xf numFmtId="0" fontId="79" fillId="50" borderId="41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3" fillId="0" borderId="8" applyNumberFormat="0" applyFill="0" applyAlignment="0" applyProtection="0"/>
    <xf numFmtId="0" fontId="80" fillId="0" borderId="48" applyNumberFormat="0" applyFill="0" applyAlignment="0" applyProtection="0"/>
    <xf numFmtId="0" fontId="2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46" fillId="54" borderId="49" applyNumberFormat="0" applyFont="0" applyAlignment="0" applyProtection="0"/>
    <xf numFmtId="0" fontId="27" fillId="3" borderId="0" applyNumberFormat="0" applyBorder="0" applyAlignment="0" applyProtection="0"/>
    <xf numFmtId="0" fontId="84" fillId="55" borderId="0" applyNumberFormat="0" applyBorder="0" applyAlignment="0" applyProtection="0"/>
  </cellStyleXfs>
  <cellXfs count="380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48" fillId="0" borderId="0" xfId="0" applyFont="1"/>
    <xf numFmtId="0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8" fillId="0" borderId="0" xfId="0" applyFont="1" applyFill="1"/>
    <xf numFmtId="0" fontId="50" fillId="0" borderId="0" xfId="0" applyFont="1" applyAlignment="1">
      <alignment horizontal="right"/>
    </xf>
    <xf numFmtId="1" fontId="51" fillId="0" borderId="0" xfId="0" applyNumberFormat="1" applyFont="1" applyAlignment="1">
      <alignment horizontal="center" vertical="center"/>
    </xf>
    <xf numFmtId="166" fontId="51" fillId="0" borderId="0" xfId="0" applyNumberFormat="1" applyFont="1" applyAlignment="1">
      <alignment vertical="center"/>
    </xf>
    <xf numFmtId="2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14" fontId="5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29" fillId="0" borderId="0" xfId="0" applyFont="1" applyAlignment="1">
      <alignment horizontal="left" indent="1"/>
    </xf>
    <xf numFmtId="166" fontId="8" fillId="0" borderId="0" xfId="0" applyNumberFormat="1" applyFont="1"/>
    <xf numFmtId="169" fontId="8" fillId="24" borderId="0" xfId="88" applyNumberFormat="1" applyFont="1" applyFill="1" applyAlignment="1">
      <alignment vertical="center"/>
    </xf>
    <xf numFmtId="169" fontId="8" fillId="25" borderId="0" xfId="88" applyNumberFormat="1" applyFont="1" applyFill="1" applyAlignment="1">
      <alignment vertical="center"/>
    </xf>
    <xf numFmtId="169" fontId="8" fillId="26" borderId="0" xfId="88" applyNumberFormat="1" applyFont="1" applyFill="1" applyAlignment="1">
      <alignment vertical="center"/>
    </xf>
    <xf numFmtId="169" fontId="9" fillId="26" borderId="0" xfId="86" applyNumberFormat="1" applyFont="1" applyFill="1" applyAlignment="1">
      <alignment vertical="center"/>
    </xf>
    <xf numFmtId="169" fontId="9" fillId="25" borderId="0" xfId="86" applyNumberFormat="1" applyFont="1" applyFill="1" applyAlignment="1">
      <alignment vertical="center"/>
    </xf>
    <xf numFmtId="169" fontId="9" fillId="24" borderId="0" xfId="86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/>
    <xf numFmtId="49" fontId="31" fillId="27" borderId="11" xfId="80" applyNumberFormat="1" applyFont="1" applyFill="1" applyBorder="1" applyAlignment="1">
      <alignment horizontal="center" vertical="center"/>
    </xf>
    <xf numFmtId="1" fontId="31" fillId="27" borderId="12" xfId="80" applyNumberFormat="1" applyFont="1" applyFill="1" applyBorder="1" applyAlignment="1">
      <alignment horizontal="center" vertical="center"/>
    </xf>
    <xf numFmtId="1" fontId="31" fillId="27" borderId="13" xfId="8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166" fontId="4" fillId="27" borderId="15" xfId="80" applyNumberFormat="1" applyFont="1" applyFill="1" applyBorder="1" applyAlignment="1">
      <alignment vertical="center" shrinkToFit="1"/>
    </xf>
    <xf numFmtId="166" fontId="4" fillId="27" borderId="16" xfId="80" applyNumberFormat="1" applyFont="1" applyFill="1" applyBorder="1" applyAlignment="1">
      <alignment vertical="center" shrinkToFit="1"/>
    </xf>
    <xf numFmtId="166" fontId="4" fillId="0" borderId="17" xfId="80" applyNumberFormat="1" applyFont="1" applyFill="1" applyBorder="1" applyAlignment="1">
      <alignment vertical="center" shrinkToFit="1"/>
    </xf>
    <xf numFmtId="166" fontId="4" fillId="0" borderId="15" xfId="80" applyNumberFormat="1" applyFont="1" applyFill="1" applyBorder="1" applyAlignment="1">
      <alignment vertical="center" shrinkToFit="1"/>
    </xf>
    <xf numFmtId="166" fontId="3" fillId="27" borderId="15" xfId="80" applyNumberFormat="1" applyFont="1" applyFill="1" applyBorder="1" applyAlignment="1">
      <alignment vertical="center" shrinkToFit="1"/>
    </xf>
    <xf numFmtId="166" fontId="3" fillId="27" borderId="16" xfId="80" applyNumberFormat="1" applyFont="1" applyFill="1" applyBorder="1" applyAlignment="1">
      <alignment vertical="center" shrinkToFit="1"/>
    </xf>
    <xf numFmtId="166" fontId="3" fillId="0" borderId="17" xfId="80" applyNumberFormat="1" applyFont="1" applyFill="1" applyBorder="1" applyAlignment="1">
      <alignment vertical="center" shrinkToFit="1"/>
    </xf>
    <xf numFmtId="166" fontId="3" fillId="0" borderId="15" xfId="80" applyNumberFormat="1" applyFont="1" applyFill="1" applyBorder="1" applyAlignment="1">
      <alignment vertical="center" shrinkToFit="1"/>
    </xf>
    <xf numFmtId="49" fontId="31" fillId="28" borderId="0" xfId="0" applyNumberFormat="1" applyFont="1" applyFill="1" applyAlignment="1" applyProtection="1">
      <alignment vertical="center"/>
      <protection locked="0"/>
    </xf>
    <xf numFmtId="0" fontId="31" fillId="28" borderId="0" xfId="0" applyFont="1" applyFill="1" applyBorder="1" applyAlignment="1" applyProtection="1">
      <alignment vertical="center"/>
      <protection locked="0"/>
    </xf>
    <xf numFmtId="175" fontId="3" fillId="27" borderId="15" xfId="80" applyNumberFormat="1" applyFont="1" applyFill="1" applyBorder="1" applyAlignment="1">
      <alignment vertical="center" shrinkToFit="1"/>
    </xf>
    <xf numFmtId="175" fontId="3" fillId="27" borderId="16" xfId="80" applyNumberFormat="1" applyFont="1" applyFill="1" applyBorder="1" applyAlignment="1">
      <alignment vertical="center" shrinkToFit="1"/>
    </xf>
    <xf numFmtId="175" fontId="3" fillId="0" borderId="17" xfId="80" applyNumberFormat="1" applyFont="1" applyFill="1" applyBorder="1" applyAlignment="1">
      <alignment vertical="center" shrinkToFit="1"/>
    </xf>
    <xf numFmtId="175" fontId="3" fillId="0" borderId="15" xfId="80" applyNumberFormat="1" applyFont="1" applyFill="1" applyBorder="1" applyAlignment="1">
      <alignment vertical="center" shrinkToFit="1"/>
    </xf>
    <xf numFmtId="166" fontId="4" fillId="27" borderId="15" xfId="80" applyNumberFormat="1" applyFont="1" applyFill="1" applyBorder="1" applyAlignment="1">
      <alignment horizontal="center" vertical="center" shrinkToFit="1"/>
    </xf>
    <xf numFmtId="166" fontId="4" fillId="27" borderId="16" xfId="80" applyNumberFormat="1" applyFont="1" applyFill="1" applyBorder="1" applyAlignment="1">
      <alignment horizontal="center" vertical="center" shrinkToFit="1"/>
    </xf>
    <xf numFmtId="166" fontId="4" fillId="0" borderId="17" xfId="80" applyNumberFormat="1" applyFont="1" applyFill="1" applyBorder="1" applyAlignment="1">
      <alignment horizontal="center" vertical="center" shrinkToFit="1"/>
    </xf>
    <xf numFmtId="166" fontId="4" fillId="0" borderId="15" xfId="80" applyNumberFormat="1" applyFont="1" applyFill="1" applyBorder="1" applyAlignment="1">
      <alignment horizontal="center" vertical="center" shrinkToFit="1"/>
    </xf>
    <xf numFmtId="166" fontId="3" fillId="27" borderId="18" xfId="80" applyNumberFormat="1" applyFont="1" applyFill="1" applyBorder="1" applyAlignment="1">
      <alignment vertical="center" shrinkToFit="1"/>
    </xf>
    <xf numFmtId="166" fontId="3" fillId="27" borderId="19" xfId="80" applyNumberFormat="1" applyFont="1" applyFill="1" applyBorder="1" applyAlignment="1">
      <alignment vertical="center" shrinkToFit="1"/>
    </xf>
    <xf numFmtId="166" fontId="3" fillId="0" borderId="20" xfId="80" applyNumberFormat="1" applyFont="1" applyFill="1" applyBorder="1" applyAlignment="1">
      <alignment vertical="center" shrinkToFit="1"/>
    </xf>
    <xf numFmtId="166" fontId="3" fillId="0" borderId="18" xfId="80" applyNumberFormat="1" applyFont="1" applyFill="1" applyBorder="1" applyAlignment="1">
      <alignment vertical="center" shrinkToFit="1"/>
    </xf>
    <xf numFmtId="0" fontId="11" fillId="0" borderId="0" xfId="0" applyFont="1" applyFill="1"/>
    <xf numFmtId="0" fontId="10" fillId="0" borderId="0" xfId="0" applyFont="1" applyFill="1"/>
    <xf numFmtId="169" fontId="9" fillId="0" borderId="0" xfId="86" applyNumberFormat="1" applyFont="1" applyFill="1" applyAlignment="1">
      <alignment vertical="center"/>
    </xf>
    <xf numFmtId="169" fontId="8" fillId="0" borderId="0" xfId="88" applyNumberFormat="1" applyFont="1" applyFill="1" applyAlignment="1">
      <alignment vertical="center"/>
    </xf>
    <xf numFmtId="0" fontId="29" fillId="0" borderId="0" xfId="0" applyFont="1" applyFill="1" applyAlignment="1">
      <alignment horizontal="left" indent="1"/>
    </xf>
    <xf numFmtId="0" fontId="52" fillId="0" borderId="0" xfId="0" applyFont="1" applyBorder="1" applyAlignment="1">
      <alignment horizontal="center" vertical="center"/>
    </xf>
    <xf numFmtId="0" fontId="35" fillId="29" borderId="21" xfId="0" applyFont="1" applyFill="1" applyBorder="1" applyAlignment="1">
      <alignment horizontal="left" vertical="center" wrapText="1"/>
    </xf>
    <xf numFmtId="0" fontId="35" fillId="29" borderId="22" xfId="0" applyFont="1" applyFill="1" applyBorder="1" applyAlignment="1">
      <alignment horizontal="left" vertical="center" wrapText="1"/>
    </xf>
    <xf numFmtId="0" fontId="35" fillId="25" borderId="22" xfId="0" applyFont="1" applyFill="1" applyBorder="1" applyAlignment="1">
      <alignment horizontal="left" vertical="center" wrapText="1"/>
    </xf>
    <xf numFmtId="0" fontId="35" fillId="24" borderId="22" xfId="0" applyFont="1" applyFill="1" applyBorder="1" applyAlignment="1">
      <alignment horizontal="left" vertical="center" wrapText="1"/>
    </xf>
    <xf numFmtId="0" fontId="35" fillId="24" borderId="23" xfId="0" applyFont="1" applyFill="1" applyBorder="1" applyAlignment="1">
      <alignment horizontal="left" vertical="center" wrapText="1"/>
    </xf>
    <xf numFmtId="166" fontId="4" fillId="27" borderId="14" xfId="80" applyNumberFormat="1" applyFont="1" applyFill="1" applyBorder="1" applyAlignment="1">
      <alignment vertical="center" shrinkToFit="1"/>
    </xf>
    <xf numFmtId="166" fontId="3" fillId="27" borderId="14" xfId="80" applyNumberFormat="1" applyFont="1" applyFill="1" applyBorder="1" applyAlignment="1">
      <alignment vertical="center" shrinkToFit="1"/>
    </xf>
    <xf numFmtId="175" fontId="3" fillId="27" borderId="14" xfId="80" applyNumberFormat="1" applyFont="1" applyFill="1" applyBorder="1" applyAlignment="1">
      <alignment vertical="center" shrinkToFit="1"/>
    </xf>
    <xf numFmtId="166" fontId="4" fillId="27" borderId="14" xfId="80" applyNumberFormat="1" applyFont="1" applyFill="1" applyBorder="1" applyAlignment="1">
      <alignment horizontal="center" vertical="center" shrinkToFit="1"/>
    </xf>
    <xf numFmtId="166" fontId="3" fillId="27" borderId="24" xfId="80" applyNumberFormat="1" applyFont="1" applyFill="1" applyBorder="1" applyAlignment="1">
      <alignment vertical="center" shrinkToFit="1"/>
    </xf>
    <xf numFmtId="166" fontId="4" fillId="30" borderId="17" xfId="80" applyNumberFormat="1" applyFont="1" applyFill="1" applyBorder="1" applyAlignment="1" applyProtection="1">
      <alignment vertical="center" shrinkToFit="1"/>
    </xf>
    <xf numFmtId="166" fontId="4" fillId="30" borderId="15" xfId="80" applyNumberFormat="1" applyFont="1" applyFill="1" applyBorder="1" applyAlignment="1" applyProtection="1">
      <alignment vertical="center" shrinkToFit="1"/>
    </xf>
    <xf numFmtId="166" fontId="4" fillId="30" borderId="16" xfId="80" applyNumberFormat="1" applyFont="1" applyFill="1" applyBorder="1" applyAlignment="1" applyProtection="1">
      <alignment vertical="center" shrinkToFit="1"/>
    </xf>
    <xf numFmtId="0" fontId="5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49" fontId="31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Protection="1">
      <protection locked="0"/>
    </xf>
    <xf numFmtId="49" fontId="31" fillId="27" borderId="25" xfId="80" applyNumberFormat="1" applyFont="1" applyFill="1" applyBorder="1" applyAlignment="1" applyProtection="1">
      <alignment horizontal="center" vertical="center"/>
      <protection locked="0"/>
    </xf>
    <xf numFmtId="1" fontId="31" fillId="27" borderId="13" xfId="80" applyNumberFormat="1" applyFont="1" applyFill="1" applyBorder="1" applyAlignment="1" applyProtection="1">
      <alignment horizontal="center" vertical="center"/>
      <protection locked="0"/>
    </xf>
    <xf numFmtId="1" fontId="31" fillId="27" borderId="12" xfId="80" applyNumberFormat="1" applyFont="1" applyFill="1" applyBorder="1" applyAlignment="1" applyProtection="1">
      <alignment horizontal="center" vertical="center"/>
      <protection locked="0"/>
    </xf>
    <xf numFmtId="1" fontId="31" fillId="27" borderId="26" xfId="8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1" fillId="27" borderId="0" xfId="0" applyFont="1" applyFill="1" applyAlignment="1" applyProtection="1">
      <alignment horizontal="center"/>
      <protection locked="0"/>
    </xf>
    <xf numFmtId="0" fontId="47" fillId="0" borderId="0" xfId="0" applyFont="1" applyProtection="1">
      <protection locked="0"/>
    </xf>
    <xf numFmtId="0" fontId="54" fillId="0" borderId="14" xfId="0" applyFont="1" applyBorder="1" applyAlignment="1" applyProtection="1">
      <alignment horizontal="left" vertical="center"/>
      <protection locked="0"/>
    </xf>
    <xf numFmtId="0" fontId="54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Protection="1">
      <protection locked="0"/>
    </xf>
    <xf numFmtId="0" fontId="8" fillId="0" borderId="0" xfId="0" applyFont="1" applyFill="1" applyProtection="1">
      <protection locked="0"/>
    </xf>
    <xf numFmtId="0" fontId="33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35" fillId="29" borderId="0" xfId="0" applyFont="1" applyFill="1" applyBorder="1" applyAlignment="1" applyProtection="1">
      <alignment horizontal="left" vertical="center" wrapText="1"/>
      <protection locked="0"/>
    </xf>
    <xf numFmtId="0" fontId="35" fillId="25" borderId="0" xfId="0" applyFont="1" applyFill="1" applyBorder="1" applyAlignment="1" applyProtection="1">
      <alignment horizontal="left" vertical="center" wrapText="1"/>
      <protection locked="0"/>
    </xf>
    <xf numFmtId="0" fontId="35" fillId="24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175" fontId="3" fillId="30" borderId="17" xfId="80" applyNumberFormat="1" applyFont="1" applyFill="1" applyBorder="1" applyAlignment="1" applyProtection="1">
      <alignment horizontal="right" vertical="center" shrinkToFit="1"/>
    </xf>
    <xf numFmtId="175" fontId="3" fillId="30" borderId="15" xfId="80" applyNumberFormat="1" applyFont="1" applyFill="1" applyBorder="1" applyAlignment="1" applyProtection="1">
      <alignment horizontal="right" vertical="center" shrinkToFit="1"/>
    </xf>
    <xf numFmtId="175" fontId="3" fillId="30" borderId="16" xfId="80" applyNumberFormat="1" applyFont="1" applyFill="1" applyBorder="1" applyAlignment="1" applyProtection="1">
      <alignment horizontal="right" vertical="center" shrinkToFit="1"/>
    </xf>
    <xf numFmtId="166" fontId="3" fillId="30" borderId="17" xfId="80" applyNumberFormat="1" applyFont="1" applyFill="1" applyBorder="1" applyAlignment="1" applyProtection="1">
      <alignment vertical="center" shrinkToFit="1"/>
    </xf>
    <xf numFmtId="166" fontId="3" fillId="30" borderId="15" xfId="80" applyNumberFormat="1" applyFont="1" applyFill="1" applyBorder="1" applyAlignment="1" applyProtection="1">
      <alignment vertical="center" shrinkToFit="1"/>
    </xf>
    <xf numFmtId="166" fontId="3" fillId="30" borderId="16" xfId="80" applyNumberFormat="1" applyFont="1" applyFill="1" applyBorder="1" applyAlignment="1" applyProtection="1">
      <alignment vertical="center" shrinkToFit="1"/>
    </xf>
    <xf numFmtId="0" fontId="3" fillId="30" borderId="17" xfId="80" applyNumberFormat="1" applyFont="1" applyFill="1" applyBorder="1" applyAlignment="1" applyProtection="1">
      <alignment horizontal="right" vertical="center" shrinkToFit="1"/>
    </xf>
    <xf numFmtId="0" fontId="3" fillId="30" borderId="16" xfId="80" applyNumberFormat="1" applyFont="1" applyFill="1" applyBorder="1" applyAlignment="1" applyProtection="1">
      <alignment horizontal="right" vertical="center" shrinkToFit="1"/>
    </xf>
    <xf numFmtId="0" fontId="55" fillId="0" borderId="0" xfId="0" applyFont="1" applyProtection="1">
      <protection locked="0"/>
    </xf>
    <xf numFmtId="0" fontId="58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60" fillId="0" borderId="0" xfId="0" applyFont="1"/>
    <xf numFmtId="0" fontId="3" fillId="31" borderId="29" xfId="0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0" fontId="3" fillId="31" borderId="30" xfId="0" applyFont="1" applyFill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9" fillId="31" borderId="30" xfId="0" applyFont="1" applyFill="1" applyBorder="1" applyAlignment="1">
      <alignment horizontal="left" vertical="center" wrapText="1"/>
    </xf>
    <xf numFmtId="0" fontId="39" fillId="31" borderId="31" xfId="0" applyFont="1" applyFill="1" applyBorder="1" applyAlignment="1">
      <alignment horizontal="left" vertical="center" wrapText="1"/>
    </xf>
    <xf numFmtId="4" fontId="3" fillId="0" borderId="20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0" fontId="3" fillId="0" borderId="0" xfId="0" applyFont="1"/>
    <xf numFmtId="0" fontId="4" fillId="0" borderId="32" xfId="0" applyFont="1" applyBorder="1" applyAlignment="1">
      <alignment vertical="center"/>
    </xf>
    <xf numFmtId="169" fontId="4" fillId="27" borderId="12" xfId="0" applyNumberFormat="1" applyFont="1" applyFill="1" applyBorder="1" applyAlignment="1">
      <alignment horizontal="right" vertical="center"/>
    </xf>
    <xf numFmtId="169" fontId="4" fillId="27" borderId="26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left" vertical="center" indent="1"/>
    </xf>
    <xf numFmtId="169" fontId="3" fillId="0" borderId="17" xfId="86" applyNumberFormat="1" applyFont="1" applyFill="1" applyBorder="1" applyAlignment="1">
      <alignment horizontal="right" vertical="center"/>
    </xf>
    <xf numFmtId="169" fontId="3" fillId="0" borderId="15" xfId="86" applyNumberFormat="1" applyFont="1" applyFill="1" applyBorder="1" applyAlignment="1">
      <alignment horizontal="right" vertical="center"/>
    </xf>
    <xf numFmtId="169" fontId="3" fillId="0" borderId="16" xfId="86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left" vertical="center" wrapText="1" indent="2"/>
    </xf>
    <xf numFmtId="0" fontId="3" fillId="0" borderId="34" xfId="0" applyFont="1" applyBorder="1" applyAlignment="1">
      <alignment horizontal="left" vertical="center" wrapText="1" indent="2"/>
    </xf>
    <xf numFmtId="169" fontId="3" fillId="0" borderId="35" xfId="86" applyNumberFormat="1" applyFont="1" applyFill="1" applyBorder="1" applyAlignment="1">
      <alignment horizontal="right" vertical="center"/>
    </xf>
    <xf numFmtId="169" fontId="3" fillId="0" borderId="36" xfId="86" applyNumberFormat="1" applyFont="1" applyFill="1" applyBorder="1" applyAlignment="1">
      <alignment horizontal="right" vertical="center"/>
    </xf>
    <xf numFmtId="169" fontId="3" fillId="0" borderId="37" xfId="86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indent="1"/>
    </xf>
    <xf numFmtId="169" fontId="3" fillId="0" borderId="20" xfId="86" applyNumberFormat="1" applyFont="1" applyFill="1" applyBorder="1" applyAlignment="1">
      <alignment horizontal="right" vertical="center"/>
    </xf>
    <xf numFmtId="169" fontId="3" fillId="0" borderId="18" xfId="86" applyNumberFormat="1" applyFont="1" applyFill="1" applyBorder="1" applyAlignment="1">
      <alignment horizontal="right" vertical="center"/>
    </xf>
    <xf numFmtId="169" fontId="3" fillId="0" borderId="19" xfId="86" applyNumberFormat="1" applyFont="1" applyFill="1" applyBorder="1" applyAlignment="1">
      <alignment horizontal="right" vertical="center"/>
    </xf>
    <xf numFmtId="0" fontId="40" fillId="0" borderId="0" xfId="0" applyFont="1" applyFill="1"/>
    <xf numFmtId="0" fontId="3" fillId="0" borderId="0" xfId="0" applyFont="1" applyAlignment="1">
      <alignment vertical="center"/>
    </xf>
    <xf numFmtId="166" fontId="4" fillId="27" borderId="11" xfId="0" applyNumberFormat="1" applyFont="1" applyFill="1" applyBorder="1" applyAlignment="1">
      <alignment vertical="center"/>
    </xf>
    <xf numFmtId="166" fontId="4" fillId="27" borderId="12" xfId="0" applyNumberFormat="1" applyFont="1" applyFill="1" applyBorder="1" applyAlignment="1">
      <alignment vertical="center"/>
    </xf>
    <xf numFmtId="166" fontId="4" fillId="27" borderId="26" xfId="0" applyNumberFormat="1" applyFont="1" applyFill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166" fontId="3" fillId="0" borderId="16" xfId="0" applyNumberFormat="1" applyFont="1" applyBorder="1" applyAlignment="1">
      <alignment vertical="center"/>
    </xf>
    <xf numFmtId="166" fontId="3" fillId="0" borderId="20" xfId="0" applyNumberFormat="1" applyFont="1" applyBorder="1" applyAlignment="1">
      <alignment vertical="center"/>
    </xf>
    <xf numFmtId="166" fontId="3" fillId="0" borderId="18" xfId="0" applyNumberFormat="1" applyFont="1" applyBorder="1" applyAlignment="1">
      <alignment vertical="center"/>
    </xf>
    <xf numFmtId="166" fontId="3" fillId="0" borderId="19" xfId="0" applyNumberFormat="1" applyFont="1" applyBorder="1" applyAlignment="1">
      <alignment vertical="center"/>
    </xf>
    <xf numFmtId="166" fontId="3" fillId="27" borderId="14" xfId="0" applyNumberFormat="1" applyFont="1" applyFill="1" applyBorder="1" applyAlignment="1">
      <alignment vertical="center"/>
    </xf>
    <xf numFmtId="166" fontId="3" fillId="27" borderId="15" xfId="0" applyNumberFormat="1" applyFont="1" applyFill="1" applyBorder="1" applyAlignment="1">
      <alignment vertical="center"/>
    </xf>
    <xf numFmtId="166" fontId="3" fillId="27" borderId="16" xfId="0" applyNumberFormat="1" applyFont="1" applyFill="1" applyBorder="1" applyAlignment="1">
      <alignment vertical="center"/>
    </xf>
    <xf numFmtId="166" fontId="3" fillId="27" borderId="24" xfId="0" applyNumberFormat="1" applyFont="1" applyFill="1" applyBorder="1" applyAlignment="1">
      <alignment vertical="center"/>
    </xf>
    <xf numFmtId="166" fontId="3" fillId="27" borderId="18" xfId="0" applyNumberFormat="1" applyFont="1" applyFill="1" applyBorder="1" applyAlignment="1">
      <alignment vertical="center"/>
    </xf>
    <xf numFmtId="166" fontId="3" fillId="27" borderId="19" xfId="0" applyNumberFormat="1" applyFont="1" applyFill="1" applyBorder="1" applyAlignment="1">
      <alignment vertical="center"/>
    </xf>
    <xf numFmtId="4" fontId="3" fillId="27" borderId="11" xfId="0" applyNumberFormat="1" applyFont="1" applyFill="1" applyBorder="1" applyAlignment="1">
      <alignment vertical="center"/>
    </xf>
    <xf numFmtId="4" fontId="3" fillId="27" borderId="12" xfId="0" applyNumberFormat="1" applyFont="1" applyFill="1" applyBorder="1" applyAlignment="1">
      <alignment vertical="center"/>
    </xf>
    <xf numFmtId="4" fontId="3" fillId="27" borderId="26" xfId="0" applyNumberFormat="1" applyFont="1" applyFill="1" applyBorder="1" applyAlignment="1">
      <alignment vertical="center"/>
    </xf>
    <xf numFmtId="4" fontId="3" fillId="27" borderId="14" xfId="0" applyNumberFormat="1" applyFont="1" applyFill="1" applyBorder="1" applyAlignment="1">
      <alignment vertical="center"/>
    </xf>
    <xf numFmtId="4" fontId="3" fillId="27" borderId="15" xfId="0" applyNumberFormat="1" applyFont="1" applyFill="1" applyBorder="1" applyAlignment="1">
      <alignment vertical="center"/>
    </xf>
    <xf numFmtId="4" fontId="3" fillId="27" borderId="16" xfId="0" applyNumberFormat="1" applyFont="1" applyFill="1" applyBorder="1" applyAlignment="1">
      <alignment vertical="center"/>
    </xf>
    <xf numFmtId="4" fontId="3" fillId="27" borderId="18" xfId="0" applyNumberFormat="1" applyFont="1" applyFill="1" applyBorder="1" applyAlignment="1">
      <alignment vertical="center"/>
    </xf>
    <xf numFmtId="4" fontId="3" fillId="27" borderId="19" xfId="0" applyNumberFormat="1" applyFont="1" applyFill="1" applyBorder="1" applyAlignment="1">
      <alignment vertical="center"/>
    </xf>
    <xf numFmtId="169" fontId="3" fillId="27" borderId="15" xfId="0" applyNumberFormat="1" applyFont="1" applyFill="1" applyBorder="1" applyAlignment="1">
      <alignment horizontal="right" vertical="center"/>
    </xf>
    <xf numFmtId="169" fontId="3" fillId="27" borderId="16" xfId="0" applyNumberFormat="1" applyFont="1" applyFill="1" applyBorder="1" applyAlignment="1">
      <alignment horizontal="right" vertical="center"/>
    </xf>
    <xf numFmtId="169" fontId="3" fillId="27" borderId="15" xfId="0" applyNumberFormat="1" applyFont="1" applyFill="1" applyBorder="1" applyAlignment="1">
      <alignment horizontal="right" vertical="center" wrapText="1"/>
    </xf>
    <xf numFmtId="169" fontId="3" fillId="27" borderId="16" xfId="0" applyNumberFormat="1" applyFont="1" applyFill="1" applyBorder="1" applyAlignment="1">
      <alignment horizontal="right" vertical="center" wrapText="1"/>
    </xf>
    <xf numFmtId="169" fontId="3" fillId="27" borderId="36" xfId="0" applyNumberFormat="1" applyFont="1" applyFill="1" applyBorder="1" applyAlignment="1">
      <alignment horizontal="right" vertical="center" wrapText="1"/>
    </xf>
    <xf numFmtId="169" fontId="3" fillId="27" borderId="37" xfId="0" applyNumberFormat="1" applyFont="1" applyFill="1" applyBorder="1" applyAlignment="1">
      <alignment horizontal="right" vertical="center" wrapText="1"/>
    </xf>
    <xf numFmtId="169" fontId="4" fillId="27" borderId="15" xfId="0" applyNumberFormat="1" applyFont="1" applyFill="1" applyBorder="1" applyAlignment="1">
      <alignment horizontal="right" vertical="center"/>
    </xf>
    <xf numFmtId="169" fontId="4" fillId="27" borderId="16" xfId="0" applyNumberFormat="1" applyFont="1" applyFill="1" applyBorder="1" applyAlignment="1">
      <alignment horizontal="right" vertical="center"/>
    </xf>
    <xf numFmtId="169" fontId="3" fillId="27" borderId="18" xfId="0" applyNumberFormat="1" applyFont="1" applyFill="1" applyBorder="1" applyAlignment="1">
      <alignment horizontal="right" vertical="center" wrapText="1"/>
    </xf>
    <xf numFmtId="169" fontId="3" fillId="27" borderId="19" xfId="0" applyNumberFormat="1" applyFont="1" applyFill="1" applyBorder="1" applyAlignment="1">
      <alignment horizontal="right" vertical="center" wrapText="1"/>
    </xf>
    <xf numFmtId="166" fontId="4" fillId="27" borderId="14" xfId="80" applyNumberFormat="1" applyFont="1" applyFill="1" applyBorder="1" applyAlignment="1" applyProtection="1">
      <alignment vertical="center" shrinkToFit="1"/>
    </xf>
    <xf numFmtId="166" fontId="4" fillId="27" borderId="15" xfId="80" applyNumberFormat="1" applyFont="1" applyFill="1" applyBorder="1" applyAlignment="1" applyProtection="1">
      <alignment vertical="center" shrinkToFit="1"/>
    </xf>
    <xf numFmtId="166" fontId="3" fillId="27" borderId="14" xfId="80" applyNumberFormat="1" applyFont="1" applyFill="1" applyBorder="1" applyAlignment="1" applyProtection="1">
      <alignment vertical="center" shrinkToFit="1"/>
    </xf>
    <xf numFmtId="166" fontId="3" fillId="27" borderId="15" xfId="80" applyNumberFormat="1" applyFont="1" applyFill="1" applyBorder="1" applyAlignment="1" applyProtection="1">
      <alignment vertical="center" shrinkToFit="1"/>
    </xf>
    <xf numFmtId="175" fontId="3" fillId="27" borderId="14" xfId="80" applyNumberFormat="1" applyFont="1" applyFill="1" applyBorder="1" applyAlignment="1" applyProtection="1">
      <alignment vertical="center" shrinkToFit="1"/>
    </xf>
    <xf numFmtId="175" fontId="3" fillId="27" borderId="15" xfId="80" applyNumberFormat="1" applyFont="1" applyFill="1" applyBorder="1" applyAlignment="1" applyProtection="1">
      <alignment vertical="center" shrinkToFit="1"/>
    </xf>
    <xf numFmtId="166" fontId="4" fillId="27" borderId="14" xfId="80" applyNumberFormat="1" applyFont="1" applyFill="1" applyBorder="1" applyAlignment="1" applyProtection="1">
      <alignment horizontal="center" vertical="center" shrinkToFit="1"/>
    </xf>
    <xf numFmtId="166" fontId="4" fillId="27" borderId="15" xfId="80" applyNumberFormat="1" applyFont="1" applyFill="1" applyBorder="1" applyAlignment="1" applyProtection="1">
      <alignment horizontal="center" vertical="center" shrinkToFit="1"/>
    </xf>
    <xf numFmtId="166" fontId="3" fillId="27" borderId="24" xfId="80" applyNumberFormat="1" applyFont="1" applyFill="1" applyBorder="1" applyAlignment="1" applyProtection="1">
      <alignment vertical="center" shrinkToFit="1"/>
    </xf>
    <xf numFmtId="166" fontId="3" fillId="27" borderId="18" xfId="80" applyNumberFormat="1" applyFont="1" applyFill="1" applyBorder="1" applyAlignment="1" applyProtection="1">
      <alignment vertical="center" shrinkToFit="1"/>
    </xf>
    <xf numFmtId="166" fontId="4" fillId="27" borderId="12" xfId="0" applyNumberFormat="1" applyFont="1" applyFill="1" applyBorder="1" applyAlignment="1">
      <alignment horizontal="right" vertical="center"/>
    </xf>
    <xf numFmtId="166" fontId="4" fillId="27" borderId="26" xfId="0" applyNumberFormat="1" applyFont="1" applyFill="1" applyBorder="1" applyAlignment="1">
      <alignment horizontal="right" vertical="center"/>
    </xf>
    <xf numFmtId="166" fontId="4" fillId="27" borderId="14" xfId="0" applyNumberFormat="1" applyFont="1" applyFill="1" applyBorder="1" applyAlignment="1">
      <alignment vertical="center"/>
    </xf>
    <xf numFmtId="166" fontId="4" fillId="27" borderId="15" xfId="0" applyNumberFormat="1" applyFont="1" applyFill="1" applyBorder="1" applyAlignment="1">
      <alignment vertical="center"/>
    </xf>
    <xf numFmtId="166" fontId="4" fillId="27" borderId="16" xfId="0" applyNumberFormat="1" applyFont="1" applyFill="1" applyBorder="1" applyAlignment="1">
      <alignment vertical="center"/>
    </xf>
    <xf numFmtId="166" fontId="3" fillId="27" borderId="15" xfId="0" applyNumberFormat="1" applyFont="1" applyFill="1" applyBorder="1" applyAlignment="1">
      <alignment horizontal="right" vertical="center"/>
    </xf>
    <xf numFmtId="166" fontId="3" fillId="27" borderId="16" xfId="0" applyNumberFormat="1" applyFont="1" applyFill="1" applyBorder="1" applyAlignment="1">
      <alignment horizontal="right" vertical="center"/>
    </xf>
    <xf numFmtId="166" fontId="3" fillId="27" borderId="15" xfId="0" applyNumberFormat="1" applyFont="1" applyFill="1" applyBorder="1" applyAlignment="1">
      <alignment horizontal="right" vertical="center" wrapText="1"/>
    </xf>
    <xf numFmtId="166" fontId="3" fillId="27" borderId="16" xfId="0" applyNumberFormat="1" applyFont="1" applyFill="1" applyBorder="1" applyAlignment="1">
      <alignment horizontal="right" vertical="center" wrapText="1"/>
    </xf>
    <xf numFmtId="166" fontId="3" fillId="27" borderId="18" xfId="0" applyNumberFormat="1" applyFont="1" applyFill="1" applyBorder="1" applyAlignment="1">
      <alignment horizontal="right" vertical="center" wrapText="1"/>
    </xf>
    <xf numFmtId="166" fontId="3" fillId="27" borderId="19" xfId="0" applyNumberFormat="1" applyFont="1" applyFill="1" applyBorder="1" applyAlignment="1">
      <alignment horizontal="right" vertical="center" wrapText="1"/>
    </xf>
    <xf numFmtId="166" fontId="4" fillId="27" borderId="15" xfId="0" applyNumberFormat="1" applyFont="1" applyFill="1" applyBorder="1" applyAlignment="1">
      <alignment horizontal="right" vertical="center"/>
    </xf>
    <xf numFmtId="166" fontId="4" fillId="27" borderId="16" xfId="0" applyNumberFormat="1" applyFont="1" applyFill="1" applyBorder="1" applyAlignment="1">
      <alignment horizontal="right" vertical="center"/>
    </xf>
    <xf numFmtId="0" fontId="4" fillId="0" borderId="0" xfId="0" applyFont="1"/>
    <xf numFmtId="169" fontId="4" fillId="0" borderId="13" xfId="86" applyNumberFormat="1" applyFont="1" applyFill="1" applyBorder="1" applyAlignment="1">
      <alignment horizontal="right" vertical="center"/>
    </xf>
    <xf numFmtId="169" fontId="4" fillId="0" borderId="12" xfId="86" applyNumberFormat="1" applyFont="1" applyFill="1" applyBorder="1" applyAlignment="1">
      <alignment horizontal="right" vertical="center"/>
    </xf>
    <xf numFmtId="169" fontId="4" fillId="0" borderId="26" xfId="86" applyNumberFormat="1" applyFont="1" applyFill="1" applyBorder="1" applyAlignment="1">
      <alignment horizontal="right" vertical="center"/>
    </xf>
    <xf numFmtId="0" fontId="61" fillId="0" borderId="0" xfId="0" applyFont="1"/>
    <xf numFmtId="169" fontId="4" fillId="0" borderId="17" xfId="86" applyNumberFormat="1" applyFont="1" applyFill="1" applyBorder="1" applyAlignment="1">
      <alignment horizontal="right" vertical="center"/>
    </xf>
    <xf numFmtId="169" fontId="4" fillId="0" borderId="15" xfId="86" applyNumberFormat="1" applyFont="1" applyFill="1" applyBorder="1" applyAlignment="1">
      <alignment horizontal="right" vertical="center"/>
    </xf>
    <xf numFmtId="169" fontId="4" fillId="0" borderId="16" xfId="86" applyNumberFormat="1" applyFont="1" applyFill="1" applyBorder="1" applyAlignment="1">
      <alignment horizontal="right" vertical="center"/>
    </xf>
    <xf numFmtId="166" fontId="4" fillId="0" borderId="13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166" fontId="4" fillId="0" borderId="26" xfId="0" applyNumberFormat="1" applyFont="1" applyBorder="1" applyAlignment="1">
      <alignment vertical="center"/>
    </xf>
    <xf numFmtId="166" fontId="4" fillId="0" borderId="17" xfId="0" applyNumberFormat="1" applyFont="1" applyBorder="1" applyAlignment="1">
      <alignment vertical="center"/>
    </xf>
    <xf numFmtId="166" fontId="4" fillId="0" borderId="15" xfId="0" applyNumberFormat="1" applyFont="1" applyBorder="1" applyAlignment="1">
      <alignment vertical="center"/>
    </xf>
    <xf numFmtId="166" fontId="4" fillId="0" borderId="16" xfId="0" applyNumberFormat="1" applyFont="1" applyBorder="1" applyAlignment="1">
      <alignment vertical="center"/>
    </xf>
    <xf numFmtId="0" fontId="3" fillId="0" borderId="32" xfId="0" applyFont="1" applyBorder="1"/>
    <xf numFmtId="10" fontId="3" fillId="0" borderId="13" xfId="0" applyNumberFormat="1" applyFont="1" applyFill="1" applyBorder="1" applyAlignment="1">
      <alignment vertical="center"/>
    </xf>
    <xf numFmtId="10" fontId="3" fillId="0" borderId="12" xfId="0" applyNumberFormat="1" applyFont="1" applyFill="1" applyBorder="1" applyAlignment="1">
      <alignment vertical="center"/>
    </xf>
    <xf numFmtId="10" fontId="3" fillId="0" borderId="26" xfId="0" applyNumberFormat="1" applyFont="1" applyFill="1" applyBorder="1" applyAlignment="1">
      <alignment vertical="center"/>
    </xf>
    <xf numFmtId="0" fontId="3" fillId="0" borderId="34" xfId="0" applyFont="1" applyBorder="1"/>
    <xf numFmtId="10" fontId="3" fillId="0" borderId="20" xfId="0" applyNumberFormat="1" applyFont="1" applyFill="1" applyBorder="1" applyAlignment="1">
      <alignment vertical="center"/>
    </xf>
    <xf numFmtId="10" fontId="3" fillId="0" borderId="18" xfId="0" applyNumberFormat="1" applyFont="1" applyFill="1" applyBorder="1" applyAlignment="1">
      <alignment vertical="center"/>
    </xf>
    <xf numFmtId="10" fontId="3" fillId="0" borderId="19" xfId="0" applyNumberFormat="1" applyFont="1" applyFill="1" applyBorder="1" applyAlignment="1">
      <alignment vertical="center"/>
    </xf>
    <xf numFmtId="0" fontId="37" fillId="0" borderId="38" xfId="0" applyFont="1" applyBorder="1" applyAlignment="1" applyProtection="1">
      <alignment vertical="center" wrapText="1"/>
      <protection locked="0"/>
    </xf>
    <xf numFmtId="0" fontId="31" fillId="0" borderId="38" xfId="0" applyFont="1" applyBorder="1" applyAlignment="1" applyProtection="1">
      <alignment horizontal="center" vertical="center" wrapText="1"/>
      <protection locked="0"/>
    </xf>
    <xf numFmtId="0" fontId="3" fillId="0" borderId="17" xfId="80" applyNumberFormat="1" applyFont="1" applyFill="1" applyBorder="1" applyAlignment="1">
      <alignment horizontal="center" vertical="center" shrinkToFit="1"/>
    </xf>
    <xf numFmtId="0" fontId="3" fillId="0" borderId="15" xfId="80" applyNumberFormat="1" applyFont="1" applyFill="1" applyBorder="1" applyAlignment="1">
      <alignment horizontal="center" vertical="center" shrinkToFit="1"/>
    </xf>
    <xf numFmtId="175" fontId="3" fillId="30" borderId="14" xfId="80" applyNumberFormat="1" applyFont="1" applyFill="1" applyBorder="1" applyAlignment="1" applyProtection="1">
      <alignment horizontal="right" vertical="center" shrinkToFit="1"/>
    </xf>
    <xf numFmtId="0" fontId="37" fillId="0" borderId="0" xfId="0" applyFont="1"/>
    <xf numFmtId="0" fontId="31" fillId="0" borderId="0" xfId="0" applyFont="1"/>
    <xf numFmtId="0" fontId="35" fillId="0" borderId="38" xfId="0" applyFont="1" applyFill="1" applyBorder="1" applyAlignment="1" applyProtection="1">
      <alignment vertical="center"/>
      <protection locked="0"/>
    </xf>
    <xf numFmtId="0" fontId="41" fillId="0" borderId="38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38" xfId="0" applyFont="1" applyBorder="1" applyAlignment="1" applyProtection="1">
      <alignment horizontal="left" vertical="center"/>
      <protection locked="0"/>
    </xf>
    <xf numFmtId="166" fontId="3" fillId="27" borderId="16" xfId="80" applyNumberFormat="1" applyFont="1" applyFill="1" applyBorder="1" applyAlignment="1" applyProtection="1">
      <alignment vertical="center" shrinkToFit="1"/>
    </xf>
    <xf numFmtId="166" fontId="3" fillId="32" borderId="17" xfId="80" applyNumberFormat="1" applyFont="1" applyFill="1" applyBorder="1" applyAlignment="1" applyProtection="1">
      <alignment vertical="center" shrinkToFit="1"/>
    </xf>
    <xf numFmtId="166" fontId="3" fillId="32" borderId="15" xfId="80" applyNumberFormat="1" applyFont="1" applyFill="1" applyBorder="1" applyAlignment="1" applyProtection="1">
      <alignment vertical="center" shrinkToFit="1"/>
    </xf>
    <xf numFmtId="166" fontId="3" fillId="32" borderId="16" xfId="80" applyNumberFormat="1" applyFont="1" applyFill="1" applyBorder="1" applyAlignment="1" applyProtection="1">
      <alignment vertical="center" shrinkToFit="1"/>
    </xf>
    <xf numFmtId="166" fontId="4" fillId="27" borderId="16" xfId="80" applyNumberFormat="1" applyFont="1" applyFill="1" applyBorder="1" applyAlignment="1" applyProtection="1">
      <alignment vertical="center" shrinkToFit="1"/>
    </xf>
    <xf numFmtId="166" fontId="38" fillId="30" borderId="17" xfId="80" applyNumberFormat="1" applyFont="1" applyFill="1" applyBorder="1" applyAlignment="1" applyProtection="1">
      <alignment horizontal="right" vertical="center" shrinkToFit="1"/>
    </xf>
    <xf numFmtId="166" fontId="38" fillId="30" borderId="15" xfId="80" applyNumberFormat="1" applyFont="1" applyFill="1" applyBorder="1" applyAlignment="1" applyProtection="1">
      <alignment horizontal="right" vertical="center" shrinkToFit="1"/>
    </xf>
    <xf numFmtId="166" fontId="38" fillId="30" borderId="16" xfId="80" applyNumberFormat="1" applyFont="1" applyFill="1" applyBorder="1" applyAlignment="1" applyProtection="1">
      <alignment horizontal="right" vertical="center" shrinkToFit="1"/>
    </xf>
    <xf numFmtId="166" fontId="4" fillId="32" borderId="17" xfId="80" applyNumberFormat="1" applyFont="1" applyFill="1" applyBorder="1" applyAlignment="1" applyProtection="1">
      <alignment vertical="center" shrinkToFit="1"/>
    </xf>
    <xf numFmtId="166" fontId="4" fillId="32" borderId="15" xfId="80" applyNumberFormat="1" applyFont="1" applyFill="1" applyBorder="1" applyAlignment="1" applyProtection="1">
      <alignment vertical="center" shrinkToFit="1"/>
    </xf>
    <xf numFmtId="166" fontId="4" fillId="32" borderId="16" xfId="80" applyNumberFormat="1" applyFont="1" applyFill="1" applyBorder="1" applyAlignment="1" applyProtection="1">
      <alignment vertical="center" shrinkToFit="1"/>
    </xf>
    <xf numFmtId="166" fontId="4" fillId="27" borderId="16" xfId="80" applyNumberFormat="1" applyFont="1" applyFill="1" applyBorder="1" applyAlignment="1" applyProtection="1">
      <alignment horizontal="center" vertical="center" shrinkToFit="1"/>
    </xf>
    <xf numFmtId="166" fontId="4" fillId="0" borderId="17" xfId="80" applyNumberFormat="1" applyFont="1" applyFill="1" applyBorder="1" applyAlignment="1" applyProtection="1">
      <alignment horizontal="center" vertical="center" shrinkToFit="1"/>
    </xf>
    <xf numFmtId="166" fontId="4" fillId="0" borderId="15" xfId="80" applyNumberFormat="1" applyFont="1" applyFill="1" applyBorder="1" applyAlignment="1" applyProtection="1">
      <alignment horizontal="center" vertical="center" shrinkToFit="1"/>
    </xf>
    <xf numFmtId="166" fontId="4" fillId="0" borderId="16" xfId="80" applyNumberFormat="1" applyFont="1" applyFill="1" applyBorder="1" applyAlignment="1" applyProtection="1">
      <alignment horizontal="center" vertical="center" shrinkToFit="1"/>
    </xf>
    <xf numFmtId="166" fontId="39" fillId="30" borderId="17" xfId="80" applyNumberFormat="1" applyFont="1" applyFill="1" applyBorder="1" applyAlignment="1" applyProtection="1">
      <alignment vertical="center" shrinkToFit="1"/>
    </xf>
    <xf numFmtId="166" fontId="39" fillId="30" borderId="15" xfId="80" applyNumberFormat="1" applyFont="1" applyFill="1" applyBorder="1" applyAlignment="1" applyProtection="1">
      <alignment vertical="center" shrinkToFit="1"/>
    </xf>
    <xf numFmtId="166" fontId="39" fillId="30" borderId="16" xfId="80" applyNumberFormat="1" applyFont="1" applyFill="1" applyBorder="1" applyAlignment="1" applyProtection="1">
      <alignment vertical="center" shrinkToFit="1"/>
    </xf>
    <xf numFmtId="166" fontId="3" fillId="27" borderId="19" xfId="80" applyNumberFormat="1" applyFont="1" applyFill="1" applyBorder="1" applyAlignment="1" applyProtection="1">
      <alignment vertical="center" shrinkToFit="1"/>
    </xf>
    <xf numFmtId="166" fontId="3" fillId="32" borderId="20" xfId="80" applyNumberFormat="1" applyFont="1" applyFill="1" applyBorder="1" applyAlignment="1" applyProtection="1">
      <alignment vertical="center" shrinkToFit="1"/>
    </xf>
    <xf numFmtId="166" fontId="3" fillId="32" borderId="18" xfId="80" applyNumberFormat="1" applyFont="1" applyFill="1" applyBorder="1" applyAlignment="1" applyProtection="1">
      <alignment vertical="center" shrinkToFit="1"/>
    </xf>
    <xf numFmtId="166" fontId="3" fillId="32" borderId="19" xfId="80" applyNumberFormat="1" applyFont="1" applyFill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vertical="center" wrapText="1"/>
    </xf>
    <xf numFmtId="4" fontId="3" fillId="27" borderId="2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0" fillId="0" borderId="17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166" fontId="50" fillId="0" borderId="17" xfId="0" applyNumberFormat="1" applyFont="1" applyFill="1" applyBorder="1" applyAlignment="1">
      <alignment horizontal="center" vertical="center"/>
    </xf>
    <xf numFmtId="166" fontId="50" fillId="0" borderId="15" xfId="0" applyNumberFormat="1" applyFont="1" applyFill="1" applyBorder="1" applyAlignment="1">
      <alignment horizontal="center" vertical="center"/>
    </xf>
    <xf numFmtId="166" fontId="50" fillId="0" borderId="16" xfId="0" applyNumberFormat="1" applyFont="1" applyFill="1" applyBorder="1" applyAlignment="1">
      <alignment horizontal="center" vertical="center"/>
    </xf>
    <xf numFmtId="49" fontId="31" fillId="27" borderId="21" xfId="80" applyNumberFormat="1" applyFont="1" applyFill="1" applyBorder="1" applyAlignment="1">
      <alignment horizontal="center" vertical="center"/>
    </xf>
    <xf numFmtId="0" fontId="53" fillId="0" borderId="22" xfId="0" applyFont="1" applyBorder="1" applyAlignment="1">
      <alignment horizontal="left" vertical="center" wrapText="1"/>
    </xf>
    <xf numFmtId="0" fontId="53" fillId="0" borderId="22" xfId="0" applyFont="1" applyBorder="1" applyAlignment="1">
      <alignment vertical="center" wrapText="1"/>
    </xf>
    <xf numFmtId="0" fontId="54" fillId="0" borderId="27" xfId="0" applyFont="1" applyBorder="1" applyAlignment="1">
      <alignment horizontal="left" vertical="center" wrapText="1" indent="1"/>
    </xf>
    <xf numFmtId="0" fontId="54" fillId="0" borderId="27" xfId="0" applyFont="1" applyBorder="1" applyAlignment="1">
      <alignment horizontal="left" vertical="center" wrapText="1" indent="2"/>
    </xf>
    <xf numFmtId="0" fontId="54" fillId="0" borderId="27" xfId="0" applyFont="1" applyBorder="1" applyAlignment="1">
      <alignment horizontal="left" vertical="center" wrapText="1" indent="3"/>
    </xf>
    <xf numFmtId="0" fontId="62" fillId="0" borderId="29" xfId="83" applyFont="1" applyBorder="1" applyAlignment="1">
      <alignment vertical="center"/>
    </xf>
    <xf numFmtId="0" fontId="62" fillId="0" borderId="30" xfId="83" applyFont="1" applyBorder="1" applyAlignment="1">
      <alignment vertical="center"/>
    </xf>
    <xf numFmtId="0" fontId="62" fillId="0" borderId="31" xfId="83" applyFont="1" applyBorder="1" applyAlignment="1">
      <alignment vertical="center"/>
    </xf>
    <xf numFmtId="0" fontId="63" fillId="0" borderId="29" xfId="83" applyFont="1" applyBorder="1" applyAlignment="1">
      <alignment vertical="center"/>
    </xf>
    <xf numFmtId="0" fontId="63" fillId="0" borderId="25" xfId="83" applyFont="1" applyBorder="1" applyAlignment="1">
      <alignment vertical="center"/>
    </xf>
    <xf numFmtId="0" fontId="63" fillId="0" borderId="30" xfId="83" applyFont="1" applyBorder="1" applyAlignment="1">
      <alignment vertical="center"/>
    </xf>
    <xf numFmtId="0" fontId="63" fillId="0" borderId="31" xfId="83" applyFont="1" applyBorder="1" applyAlignment="1">
      <alignment vertical="center"/>
    </xf>
    <xf numFmtId="0" fontId="63" fillId="0" borderId="39" xfId="83" applyFont="1" applyBorder="1" applyAlignment="1">
      <alignment vertical="center"/>
    </xf>
    <xf numFmtId="0" fontId="54" fillId="0" borderId="39" xfId="0" applyFont="1" applyBorder="1" applyAlignment="1">
      <alignment horizontal="left" vertical="center" wrapText="1" indent="1"/>
    </xf>
    <xf numFmtId="0" fontId="64" fillId="0" borderId="30" xfId="83" applyFont="1" applyBorder="1" applyAlignment="1">
      <alignment vertical="center"/>
    </xf>
    <xf numFmtId="0" fontId="65" fillId="0" borderId="30" xfId="83" applyFont="1" applyBorder="1" applyAlignment="1">
      <alignment vertical="center"/>
    </xf>
    <xf numFmtId="4" fontId="3" fillId="27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27" xfId="83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10" fontId="3" fillId="27" borderId="11" xfId="0" applyNumberFormat="1" applyFont="1" applyFill="1" applyBorder="1" applyAlignment="1">
      <alignment horizontal="center" vertical="center"/>
    </xf>
    <xf numFmtId="10" fontId="3" fillId="27" borderId="12" xfId="0" applyNumberFormat="1" applyFont="1" applyFill="1" applyBorder="1" applyAlignment="1">
      <alignment horizontal="center" vertical="center"/>
    </xf>
    <xf numFmtId="10" fontId="3" fillId="27" borderId="26" xfId="0" applyNumberFormat="1" applyFont="1" applyFill="1" applyBorder="1" applyAlignment="1">
      <alignment horizontal="center" vertical="center"/>
    </xf>
    <xf numFmtId="10" fontId="3" fillId="27" borderId="24" xfId="0" applyNumberFormat="1" applyFont="1" applyFill="1" applyBorder="1" applyAlignment="1">
      <alignment horizontal="center" vertical="center"/>
    </xf>
    <xf numFmtId="10" fontId="3" fillId="27" borderId="18" xfId="0" applyNumberFormat="1" applyFont="1" applyFill="1" applyBorder="1" applyAlignment="1">
      <alignment horizontal="center" vertical="center"/>
    </xf>
    <xf numFmtId="10" fontId="3" fillId="27" borderId="19" xfId="0" applyNumberFormat="1" applyFont="1" applyFill="1" applyBorder="1" applyAlignment="1">
      <alignment horizontal="center" vertical="center"/>
    </xf>
    <xf numFmtId="169" fontId="4" fillId="27" borderId="11" xfId="0" applyNumberFormat="1" applyFont="1" applyFill="1" applyBorder="1" applyAlignment="1">
      <alignment horizontal="center" vertical="center"/>
    </xf>
    <xf numFmtId="169" fontId="3" fillId="27" borderId="14" xfId="0" applyNumberFormat="1" applyFont="1" applyFill="1" applyBorder="1" applyAlignment="1">
      <alignment horizontal="center" vertical="center"/>
    </xf>
    <xf numFmtId="169" fontId="3" fillId="27" borderId="14" xfId="0" applyNumberFormat="1" applyFont="1" applyFill="1" applyBorder="1" applyAlignment="1">
      <alignment horizontal="center" vertical="center" wrapText="1"/>
    </xf>
    <xf numFmtId="169" fontId="3" fillId="27" borderId="40" xfId="0" applyNumberFormat="1" applyFont="1" applyFill="1" applyBorder="1" applyAlignment="1">
      <alignment horizontal="center" vertical="center" wrapText="1"/>
    </xf>
    <xf numFmtId="169" fontId="4" fillId="27" borderId="14" xfId="0" applyNumberFormat="1" applyFont="1" applyFill="1" applyBorder="1" applyAlignment="1">
      <alignment horizontal="center" vertical="center"/>
    </xf>
    <xf numFmtId="169" fontId="3" fillId="27" borderId="24" xfId="0" applyNumberFormat="1" applyFont="1" applyFill="1" applyBorder="1" applyAlignment="1">
      <alignment horizontal="center" vertical="center" wrapText="1"/>
    </xf>
    <xf numFmtId="166" fontId="4" fillId="27" borderId="11" xfId="0" applyNumberFormat="1" applyFont="1" applyFill="1" applyBorder="1" applyAlignment="1">
      <alignment horizontal="center" vertical="center"/>
    </xf>
    <xf numFmtId="166" fontId="3" fillId="27" borderId="14" xfId="0" applyNumberFormat="1" applyFont="1" applyFill="1" applyBorder="1" applyAlignment="1">
      <alignment horizontal="center" vertical="center"/>
    </xf>
    <xf numFmtId="166" fontId="3" fillId="27" borderId="14" xfId="0" applyNumberFormat="1" applyFont="1" applyFill="1" applyBorder="1" applyAlignment="1">
      <alignment horizontal="center" vertical="center" wrapText="1"/>
    </xf>
    <xf numFmtId="166" fontId="3" fillId="27" borderId="24" xfId="0" applyNumberFormat="1" applyFont="1" applyFill="1" applyBorder="1" applyAlignment="1">
      <alignment horizontal="center" vertical="center" wrapText="1"/>
    </xf>
    <xf numFmtId="166" fontId="4" fillId="27" borderId="14" xfId="0" applyNumberFormat="1" applyFont="1" applyFill="1" applyBorder="1" applyAlignment="1">
      <alignment horizontal="center" vertical="center"/>
    </xf>
    <xf numFmtId="0" fontId="35" fillId="27" borderId="11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center" vertical="center" wrapText="1"/>
    </xf>
    <xf numFmtId="0" fontId="35" fillId="27" borderId="26" xfId="0" applyFont="1" applyFill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 wrapText="1"/>
    </xf>
    <xf numFmtId="0" fontId="35" fillId="27" borderId="15" xfId="0" applyFont="1" applyFill="1" applyBorder="1" applyAlignment="1">
      <alignment horizontal="center" vertical="center" wrapText="1"/>
    </xf>
    <xf numFmtId="0" fontId="35" fillId="27" borderId="16" xfId="0" applyFont="1" applyFill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/>
    </xf>
    <xf numFmtId="0" fontId="35" fillId="27" borderId="24" xfId="0" applyFont="1" applyFill="1" applyBorder="1" applyAlignment="1">
      <alignment horizontal="center" vertical="center" wrapText="1"/>
    </xf>
    <xf numFmtId="0" fontId="35" fillId="27" borderId="18" xfId="0" applyFont="1" applyFill="1" applyBorder="1" applyAlignment="1">
      <alignment horizontal="center" vertical="center" wrapText="1"/>
    </xf>
    <xf numFmtId="0" fontId="35" fillId="27" borderId="19" xfId="0" applyFont="1" applyFill="1" applyBorder="1" applyAlignment="1">
      <alignment horizontal="center" vertical="center" wrapText="1"/>
    </xf>
    <xf numFmtId="4" fontId="3" fillId="27" borderId="15" xfId="0" applyNumberFormat="1" applyFont="1" applyFill="1" applyBorder="1" applyAlignment="1">
      <alignment horizontal="center" vertical="center"/>
    </xf>
    <xf numFmtId="4" fontId="3" fillId="27" borderId="18" xfId="0" applyNumberFormat="1" applyFont="1" applyFill="1" applyBorder="1" applyAlignment="1">
      <alignment horizontal="center" vertical="center"/>
    </xf>
    <xf numFmtId="0" fontId="4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 wrapText="1"/>
    </xf>
    <xf numFmtId="169" fontId="4" fillId="0" borderId="0" xfId="88" applyNumberFormat="1" applyFont="1" applyFill="1" applyAlignment="1">
      <alignment horizontal="center" vertical="center" wrapText="1"/>
    </xf>
    <xf numFmtId="175" fontId="3" fillId="27" borderId="14" xfId="80" applyNumberFormat="1" applyFont="1" applyFill="1" applyBorder="1" applyAlignment="1" applyProtection="1">
      <alignment horizontal="center" vertical="center" shrinkToFit="1"/>
    </xf>
    <xf numFmtId="175" fontId="3" fillId="27" borderId="15" xfId="80" applyNumberFormat="1" applyFont="1" applyFill="1" applyBorder="1" applyAlignment="1" applyProtection="1">
      <alignment horizontal="center" vertical="center" shrinkToFit="1"/>
    </xf>
    <xf numFmtId="175" fontId="3" fillId="27" borderId="16" xfId="80" applyNumberFormat="1" applyFont="1" applyFill="1" applyBorder="1" applyAlignment="1" applyProtection="1">
      <alignment horizontal="center" vertical="center" shrinkToFit="1"/>
    </xf>
    <xf numFmtId="166" fontId="8" fillId="0" borderId="0" xfId="0" applyNumberFormat="1" applyFont="1" applyBorder="1" applyAlignment="1" applyProtection="1">
      <alignment vertical="center"/>
    </xf>
    <xf numFmtId="0" fontId="54" fillId="0" borderId="24" xfId="0" applyFont="1" applyBorder="1" applyAlignment="1">
      <alignment horizontal="left" vertical="center"/>
    </xf>
    <xf numFmtId="0" fontId="63" fillId="0" borderId="27" xfId="83" applyFont="1" applyBorder="1" applyAlignment="1">
      <alignment vertical="center"/>
    </xf>
    <xf numFmtId="0" fontId="43" fillId="0" borderId="0" xfId="0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0" fontId="43" fillId="0" borderId="0" xfId="0" applyFont="1" applyBorder="1" applyAlignment="1" applyProtection="1">
      <alignment horizontal="right" vertical="center"/>
      <protection locked="0"/>
    </xf>
    <xf numFmtId="1" fontId="31" fillId="27" borderId="11" xfId="80" applyNumberFormat="1" applyFont="1" applyFill="1" applyBorder="1" applyAlignment="1">
      <alignment horizontal="center" vertical="center" wrapText="1"/>
    </xf>
    <xf numFmtId="1" fontId="31" fillId="27" borderId="12" xfId="80" applyNumberFormat="1" applyFont="1" applyFill="1" applyBorder="1" applyAlignment="1">
      <alignment horizontal="center" vertical="center" wrapText="1"/>
    </xf>
    <xf numFmtId="1" fontId="31" fillId="27" borderId="26" xfId="80" applyNumberFormat="1" applyFont="1" applyFill="1" applyBorder="1" applyAlignment="1">
      <alignment horizontal="center" vertical="center" wrapText="1"/>
    </xf>
    <xf numFmtId="1" fontId="31" fillId="27" borderId="11" xfId="80" applyNumberFormat="1" applyFont="1" applyFill="1" applyBorder="1" applyAlignment="1" applyProtection="1">
      <alignment horizontal="center" vertical="center" wrapText="1"/>
      <protection locked="0"/>
    </xf>
    <xf numFmtId="1" fontId="31" fillId="27" borderId="12" xfId="80" applyNumberFormat="1" applyFont="1" applyFill="1" applyBorder="1" applyAlignment="1" applyProtection="1">
      <alignment horizontal="center" vertical="center" wrapText="1"/>
      <protection locked="0"/>
    </xf>
    <xf numFmtId="1" fontId="31" fillId="27" borderId="26" xfId="80" applyNumberFormat="1" applyFont="1" applyFill="1" applyBorder="1" applyAlignment="1" applyProtection="1">
      <alignment horizontal="center" vertical="center" wrapText="1"/>
      <protection locked="0"/>
    </xf>
    <xf numFmtId="0" fontId="54" fillId="0" borderId="27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 applyProtection="1">
      <alignment horizontal="right" vertical="center"/>
      <protection locked="0"/>
    </xf>
    <xf numFmtId="0" fontId="55" fillId="0" borderId="0" xfId="0" applyFont="1" applyAlignment="1" applyProtection="1">
      <protection locked="0"/>
    </xf>
    <xf numFmtId="0" fontId="58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/>
    <xf numFmtId="0" fontId="53" fillId="0" borderId="27" xfId="0" applyFont="1" applyBorder="1" applyAlignment="1" applyProtection="1">
      <alignment horizontal="left" vertical="center"/>
      <protection locked="0"/>
    </xf>
    <xf numFmtId="0" fontId="54" fillId="0" borderId="39" xfId="0" applyFont="1" applyBorder="1" applyAlignment="1" applyProtection="1">
      <alignment horizontal="left" vertical="center"/>
      <protection locked="0"/>
    </xf>
    <xf numFmtId="0" fontId="60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54" fillId="0" borderId="27" xfId="0" applyFont="1" applyFill="1" applyBorder="1" applyAlignment="1" applyProtection="1">
      <alignment horizontal="left" vertical="center"/>
      <protection locked="0"/>
    </xf>
    <xf numFmtId="0" fontId="54" fillId="24" borderId="27" xfId="0" applyFont="1" applyFill="1" applyBorder="1" applyAlignment="1" applyProtection="1">
      <alignment horizontal="left" vertical="center"/>
      <protection locked="0"/>
    </xf>
    <xf numFmtId="0" fontId="54" fillId="0" borderId="27" xfId="0" applyFont="1" applyBorder="1" applyAlignment="1">
      <alignment horizontal="left" vertical="center" wrapText="1" indent="4"/>
    </xf>
    <xf numFmtId="0" fontId="54" fillId="0" borderId="22" xfId="0" applyFont="1" applyBorder="1" applyAlignment="1" applyProtection="1">
      <alignment horizontal="left" vertical="center" wrapText="1" indent="1"/>
      <protection locked="0"/>
    </xf>
    <xf numFmtId="0" fontId="54" fillId="0" borderId="27" xfId="0" quotePrefix="1" applyFont="1" applyBorder="1" applyAlignment="1">
      <alignment horizontal="left" vertical="center" wrapText="1" indent="3"/>
    </xf>
    <xf numFmtId="0" fontId="54" fillId="0" borderId="27" xfId="0" quotePrefix="1" applyFont="1" applyBorder="1" applyAlignment="1">
      <alignment horizontal="left" vertical="center" wrapText="1" indent="2"/>
    </xf>
    <xf numFmtId="0" fontId="31" fillId="0" borderId="38" xfId="0" applyFont="1" applyBorder="1" applyAlignment="1" applyProtection="1">
      <alignment horizontal="center" vertical="center" wrapText="1"/>
      <protection locked="0"/>
    </xf>
    <xf numFmtId="0" fontId="10" fillId="30" borderId="0" xfId="0" applyFont="1" applyFill="1" applyBorder="1" applyAlignment="1" applyProtection="1">
      <alignment horizontal="left" vertical="center"/>
      <protection locked="0"/>
    </xf>
    <xf numFmtId="0" fontId="10" fillId="32" borderId="0" xfId="0" applyFont="1" applyFill="1" applyBorder="1" applyAlignment="1" applyProtection="1">
      <alignment horizontal="left" vertical="center"/>
      <protection locked="0"/>
    </xf>
  </cellXfs>
  <cellStyles count="106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Komórka połączona 2" xfId="55"/>
    <cellStyle name="Komórka połączona 3" xfId="56"/>
    <cellStyle name="Komórka zaznaczona 2" xfId="57"/>
    <cellStyle name="Komórka zaznaczona 3" xfId="58"/>
    <cellStyle name="Nagłówek 1 2" xfId="59"/>
    <cellStyle name="Nagłówek 1 3" xfId="60"/>
    <cellStyle name="Nagłówek 2 2" xfId="61"/>
    <cellStyle name="Nagłówek 2 3" xfId="62"/>
    <cellStyle name="Nagłówek 3 2" xfId="63"/>
    <cellStyle name="Nagłówek 3 3" xfId="64"/>
    <cellStyle name="Nagłówek 4 2" xfId="65"/>
    <cellStyle name="Nagłówek 4 3" xfId="66"/>
    <cellStyle name="Neutralne 2" xfId="67"/>
    <cellStyle name="Neutralne 3" xfId="68"/>
    <cellStyle name="Normalny" xfId="0" builtinId="0"/>
    <cellStyle name="Normalny 2" xfId="69"/>
    <cellStyle name="Normalny 2 2" xfId="70"/>
    <cellStyle name="Normalny 2 3" xfId="71"/>
    <cellStyle name="Normalny 2 4" xfId="72"/>
    <cellStyle name="Normalny 2 5" xfId="73"/>
    <cellStyle name="Normalny 2 6" xfId="74"/>
    <cellStyle name="Normalny 2 7" xfId="75"/>
    <cellStyle name="Normalny 3" xfId="76"/>
    <cellStyle name="Normalny 4" xfId="77"/>
    <cellStyle name="Normalny 5" xfId="78"/>
    <cellStyle name="Normalny 6" xfId="79"/>
    <cellStyle name="Normalny 6 2" xfId="80"/>
    <cellStyle name="Normalny 7" xfId="81"/>
    <cellStyle name="Normalny 7 2" xfId="82"/>
    <cellStyle name="Normalny 8" xfId="83"/>
    <cellStyle name="Obliczenia 2" xfId="84"/>
    <cellStyle name="Obliczenia 3" xfId="85"/>
    <cellStyle name="Procentowy" xfId="86" builtinId="5"/>
    <cellStyle name="Procentowy 2" xfId="87"/>
    <cellStyle name="Procentowy 2 2" xfId="88"/>
    <cellStyle name="Procentowy 2 3" xfId="89"/>
    <cellStyle name="Procentowy 3" xfId="90"/>
    <cellStyle name="Procentowy 3 2" xfId="91"/>
    <cellStyle name="Procentowy 4" xfId="92"/>
    <cellStyle name="Procentowy 5" xfId="93"/>
    <cellStyle name="Suma 2" xfId="94"/>
    <cellStyle name="Suma 3" xfId="95"/>
    <cellStyle name="Tekst objaśnienia 2" xfId="96"/>
    <cellStyle name="Tekst objaśnienia 3" xfId="97"/>
    <cellStyle name="Tekst ostrzeżenia 2" xfId="98"/>
    <cellStyle name="Tekst ostrzeżenia 3" xfId="99"/>
    <cellStyle name="Tytuł" xfId="100" builtinId="15" customBuiltin="1"/>
    <cellStyle name="Tytuł 2" xfId="101"/>
    <cellStyle name="Uwaga 2" xfId="102"/>
    <cellStyle name="Uwaga 3" xfId="103"/>
    <cellStyle name="Złe 2" xfId="104"/>
    <cellStyle name="Złe 3" xfId="105"/>
  </cellStyles>
  <dxfs count="30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Zał.1_WPF_bazowy!$C$18</c:f>
              <c:strCache>
                <c:ptCount val="1"/>
                <c:pt idx="0">
                  <c:v>  Dochody majątkowe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Zał.1_WPF_bazowy!$I$18:$L$18</c:f>
              <c:numCache>
                <c:formatCode>#,##0.00_ ;[Red]\-#,##0.00\ </c:formatCode>
                <c:ptCount val="4"/>
                <c:pt idx="0">
                  <c:v>2379904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Zał.1_WPF_bazowy!$C$19</c:f>
              <c:strCache>
                <c:ptCount val="1"/>
                <c:pt idx="0">
                  <c:v>  ze sprzedaży majątku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Zał.1_WPF_bazowy!$I$19:$L$19</c:f>
              <c:numCache>
                <c:formatCode>#,##0.00_ ;[Red]\-#,##0.00\ </c:formatCode>
                <c:ptCount val="4"/>
                <c:pt idx="0">
                  <c:v>200000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8168448"/>
        <c:axId val="78169984"/>
      </c:lineChart>
      <c:catAx>
        <c:axId val="78168448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8169984"/>
        <c:crosses val="autoZero"/>
        <c:auto val="1"/>
        <c:lblAlgn val="ctr"/>
        <c:lblOffset val="100"/>
      </c:catAx>
      <c:valAx>
        <c:axId val="78169984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8168448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21458333333333332"/>
          <c:y val="2.7777777777777776E-2"/>
          <c:w val="0.62291666666666667"/>
          <c:h val="6.9444444444444448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Zał.1_WPF_bazowy!$I$59:$L$59</c:f>
              <c:numCache>
                <c:formatCode>0.00%;[Red]\-0.00%</c:formatCode>
                <c:ptCount val="4"/>
                <c:pt idx="0">
                  <c:v>0.18890000000000001</c:v>
                </c:pt>
                <c:pt idx="1">
                  <c:v>0.21790000000000001</c:v>
                </c:pt>
                <c:pt idx="2">
                  <c:v>0.1827</c:v>
                </c:pt>
                <c:pt idx="3">
                  <c:v>0.18679999999999999</c:v>
                </c:pt>
              </c:numCache>
            </c:numRef>
          </c:val>
        </c:ser>
        <c:ser>
          <c:idx val="1"/>
          <c:order val="1"/>
          <c:tx>
            <c:strRef>
              <c:f>Zał.1_WPF_bazowy!$C$57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Zał.1_WPF_bazowy!$I$57:$L$57</c:f>
              <c:numCache>
                <c:formatCode>0.00%;[Red]\-0.00%</c:formatCode>
                <c:ptCount val="4"/>
                <c:pt idx="0">
                  <c:v>5.6399999999999999E-2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193472"/>
        <c:axId val="85195008"/>
      </c:lineChart>
      <c:catAx>
        <c:axId val="8519347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195008"/>
        <c:crosses val="autoZero"/>
        <c:auto val="1"/>
        <c:lblAlgn val="ctr"/>
        <c:lblOffset val="100"/>
      </c:catAx>
      <c:valAx>
        <c:axId val="8519500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193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6250000000000001E-2"/>
          <c:y val="2.7777777777777776E-2"/>
          <c:w val="0.86875000000000002"/>
          <c:h val="0.18055555555555555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Zał.1_WPF_bazowy!$I$60:$L$60</c:f>
              <c:numCache>
                <c:formatCode>0.00%;[Red]\-0.00%</c:formatCode>
                <c:ptCount val="4"/>
                <c:pt idx="0">
                  <c:v>0.1867</c:v>
                </c:pt>
                <c:pt idx="1">
                  <c:v>0.2157</c:v>
                </c:pt>
                <c:pt idx="2">
                  <c:v>0.18049999999999999</c:v>
                </c:pt>
                <c:pt idx="3">
                  <c:v>0.18679999999999999</c:v>
                </c:pt>
              </c:numCache>
            </c:numRef>
          </c:val>
        </c:ser>
        <c:ser>
          <c:idx val="1"/>
          <c:order val="1"/>
          <c:tx>
            <c:strRef>
              <c:f>Zał.1_WPF_bazowy!$C$54</c:f>
              <c:strCache>
                <c:ptCount val="1"/>
                <c:pt idx="0">
                  <c:v>(R+O) / D (bez wyłączeń)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Zał.1_WPF_bazowy!$I$54:$L$54</c:f>
              <c:numCache>
                <c:formatCode>0.00%;[Red]\-0.00%</c:formatCode>
                <c:ptCount val="4"/>
                <c:pt idx="0">
                  <c:v>5.6399999999999999E-2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248256"/>
        <c:axId val="85250048"/>
      </c:lineChart>
      <c:catAx>
        <c:axId val="8524825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250048"/>
        <c:crosses val="autoZero"/>
        <c:auto val="1"/>
        <c:lblAlgn val="ctr"/>
        <c:lblOffset val="100"/>
      </c:catAx>
      <c:valAx>
        <c:axId val="8525004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24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6250000000000001E-2"/>
          <c:y val="2.7777777777777776E-2"/>
          <c:w val="0.86875000000000002"/>
          <c:h val="0.18055555555555555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Zał.1_WPF_bazowy!$I$60:$L$60</c:f>
              <c:numCache>
                <c:formatCode>0.00%;[Red]\-0.00%</c:formatCode>
                <c:ptCount val="4"/>
                <c:pt idx="0">
                  <c:v>0.1867</c:v>
                </c:pt>
                <c:pt idx="1">
                  <c:v>0.2157</c:v>
                </c:pt>
                <c:pt idx="2">
                  <c:v>0.18049999999999999</c:v>
                </c:pt>
                <c:pt idx="3">
                  <c:v>0.18679999999999999</c:v>
                </c:pt>
              </c:numCache>
            </c:numRef>
          </c:val>
        </c:ser>
        <c:ser>
          <c:idx val="1"/>
          <c:order val="1"/>
          <c:tx>
            <c:strRef>
              <c:f>Zał.1_WPF_bazowy!$C$57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Zał.1_WPF_bazowy!$I$57:$L$57</c:f>
              <c:numCache>
                <c:formatCode>0.00%;[Red]\-0.00%</c:formatCode>
                <c:ptCount val="4"/>
                <c:pt idx="0">
                  <c:v>5.6399999999999999E-2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340160"/>
        <c:axId val="85341696"/>
      </c:lineChart>
      <c:catAx>
        <c:axId val="8534016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341696"/>
        <c:crosses val="autoZero"/>
        <c:auto val="1"/>
        <c:lblAlgn val="ctr"/>
        <c:lblOffset val="100"/>
      </c:catAx>
      <c:valAx>
        <c:axId val="85341696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34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6250000000000001E-2"/>
          <c:y val="2.7777777777777776E-2"/>
          <c:w val="0.86875000000000002"/>
          <c:h val="0.18055555555555555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Zał.1_WPF_bazowy!$C$11</c:f>
              <c:strCache>
                <c:ptCount val="1"/>
                <c:pt idx="0">
                  <c:v> Dochody bieżące</c:v>
                </c:pt>
              </c:strCache>
            </c:strRef>
          </c:tx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Zał.1_WPF_bazowy!$I$11:$L$11</c:f>
              <c:numCache>
                <c:formatCode>#,##0.00_ ;[Red]\-#,##0.00\ </c:formatCode>
                <c:ptCount val="4"/>
                <c:pt idx="0">
                  <c:v>11708269.67</c:v>
                </c:pt>
                <c:pt idx="1">
                  <c:v>10825000</c:v>
                </c:pt>
                <c:pt idx="2">
                  <c:v>12050000</c:v>
                </c:pt>
                <c:pt idx="3">
                  <c:v>12170000</c:v>
                </c:pt>
              </c:numCache>
            </c:numRef>
          </c:val>
        </c:ser>
        <c:ser>
          <c:idx val="1"/>
          <c:order val="1"/>
          <c:tx>
            <c:strRef>
              <c:f>Zał.1_WPF_bazowy!$C$18</c:f>
              <c:strCache>
                <c:ptCount val="1"/>
                <c:pt idx="0">
                  <c:v>  Dochody majątkowe</c:v>
                </c:pt>
              </c:strCache>
            </c:strRef>
          </c:tx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Zał.1_WPF_bazowy!$I$18:$L$18</c:f>
              <c:numCache>
                <c:formatCode>#,##0.00_ ;[Red]\-#,##0.00\ </c:formatCode>
                <c:ptCount val="4"/>
                <c:pt idx="0">
                  <c:v>2379904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84683392"/>
        <c:axId val="84697472"/>
      </c:barChart>
      <c:catAx>
        <c:axId val="8468339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697472"/>
        <c:crosses val="autoZero"/>
        <c:auto val="1"/>
        <c:lblAlgn val="ctr"/>
        <c:lblOffset val="100"/>
      </c:catAx>
      <c:valAx>
        <c:axId val="84697472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683392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3"/>
          <c:y val="2.7777777777777776E-2"/>
          <c:w val="0.46666666666666667"/>
          <c:h val="6.9444444444444448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Zał.1_WPF_bazowy!$C$22</c:f>
              <c:strCache>
                <c:ptCount val="1"/>
                <c:pt idx="0">
                  <c:v> Wydatki bieżące</c:v>
                </c:pt>
              </c:strCache>
            </c:strRef>
          </c:tx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Zał.1_WPF_bazowy!$I$22:$L$22</c:f>
              <c:numCache>
                <c:formatCode>#,##0.00_ ;[Red]\-#,##0.00\ </c:formatCode>
                <c:ptCount val="4"/>
                <c:pt idx="0">
                  <c:v>9344048.4800000004</c:v>
                </c:pt>
                <c:pt idx="1">
                  <c:v>9140000</c:v>
                </c:pt>
                <c:pt idx="2">
                  <c:v>9368000</c:v>
                </c:pt>
                <c:pt idx="3">
                  <c:v>9600000</c:v>
                </c:pt>
              </c:numCache>
            </c:numRef>
          </c:val>
        </c:ser>
        <c:ser>
          <c:idx val="1"/>
          <c:order val="1"/>
          <c:tx>
            <c:strRef>
              <c:f>Zał.1_WPF_bazowy!$C$30</c:f>
              <c:strCache>
                <c:ptCount val="1"/>
                <c:pt idx="0">
                  <c:v> Wydatki majątkowe</c:v>
                </c:pt>
              </c:strCache>
            </c:strRef>
          </c:tx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Zał.1_WPF_bazowy!$I$30:$L$30</c:f>
              <c:numCache>
                <c:formatCode>#,##0.00_ ;[Red]\-#,##0.00\ </c:formatCode>
                <c:ptCount val="4"/>
                <c:pt idx="0">
                  <c:v>4714500</c:v>
                </c:pt>
                <c:pt idx="1">
                  <c:v>1685000</c:v>
                </c:pt>
                <c:pt idx="2">
                  <c:v>2682000</c:v>
                </c:pt>
                <c:pt idx="3">
                  <c:v>2570000</c:v>
                </c:pt>
              </c:numCache>
            </c:numRef>
          </c:val>
        </c:ser>
        <c:overlap val="100"/>
        <c:axId val="84730240"/>
        <c:axId val="84731776"/>
      </c:barChart>
      <c:catAx>
        <c:axId val="8473024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731776"/>
        <c:crosses val="autoZero"/>
        <c:auto val="1"/>
        <c:lblAlgn val="ctr"/>
        <c:lblOffset val="100"/>
      </c:catAx>
      <c:valAx>
        <c:axId val="84731776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730240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31041666666666667"/>
          <c:y val="2.7777777777777776E-2"/>
          <c:w val="0.44791666666666669"/>
          <c:h val="6.9444444444444448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Zał.1_WPF_bazowy!$I$66:$L$66</c:f>
              <c:numCache>
                <c:formatCode>#,##0.00_ ;[Red]\-#,##0.00\ </c:formatCode>
                <c:ptCount val="4"/>
                <c:pt idx="0">
                  <c:v>4226255</c:v>
                </c:pt>
                <c:pt idx="1">
                  <c:v>4271290</c:v>
                </c:pt>
                <c:pt idx="2">
                  <c:v>4378000</c:v>
                </c:pt>
                <c:pt idx="3">
                  <c:v>4487450</c:v>
                </c:pt>
              </c:numCache>
            </c:numRef>
          </c:val>
        </c:ser>
        <c:ser>
          <c:idx val="1"/>
          <c:order val="1"/>
          <c:tx>
            <c:strRef>
              <c:f>Zał.1_WPF_bazowy!$C$67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Zał.1_WPF_bazowy!$I$67:$L$67</c:f>
              <c:numCache>
                <c:formatCode>#,##0.00_ ;[Red]\-#,##0.00\ </c:formatCode>
                <c:ptCount val="4"/>
                <c:pt idx="0">
                  <c:v>1555803</c:v>
                </c:pt>
                <c:pt idx="1">
                  <c:v>1509400</c:v>
                </c:pt>
                <c:pt idx="2">
                  <c:v>1547135</c:v>
                </c:pt>
                <c:pt idx="3">
                  <c:v>1585800</c:v>
                </c:pt>
              </c:numCache>
            </c:numRef>
          </c:val>
        </c:ser>
        <c:marker val="1"/>
        <c:axId val="84977920"/>
        <c:axId val="84983808"/>
      </c:lineChart>
      <c:catAx>
        <c:axId val="8497792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983808"/>
        <c:crosses val="autoZero"/>
        <c:auto val="1"/>
        <c:lblAlgn val="ctr"/>
        <c:lblOffset val="100"/>
      </c:catAx>
      <c:valAx>
        <c:axId val="8498380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977920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125"/>
          <c:y val="2.7777777777777776E-2"/>
          <c:w val="0.80208333333333337"/>
          <c:h val="0.13194444444444445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1"/>
          <c:order val="0"/>
          <c:tx>
            <c:strRef>
              <c:f>Zał.1_WPF_bazowy!$C$69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Zał.1_WPF_bazowy!$I$69:$L$69</c:f>
              <c:numCache>
                <c:formatCode>#,##0.00_ ;[Red]\-#,##0.00\ </c:formatCode>
                <c:ptCount val="4"/>
                <c:pt idx="0">
                  <c:v>261432.67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Zał.1_WPF_bazowy!$C$70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Zał.1_WPF_bazowy!$I$70:$L$70</c:f>
              <c:numCache>
                <c:formatCode>#,##0.00_ ;[Red]\-#,##0.00\ </c:formatCode>
                <c:ptCount val="4"/>
                <c:pt idx="0">
                  <c:v>30300</c:v>
                </c:pt>
                <c:pt idx="1">
                  <c:v>784700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000960"/>
        <c:axId val="85002496"/>
      </c:lineChart>
      <c:catAx>
        <c:axId val="8500096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002496"/>
        <c:crosses val="autoZero"/>
        <c:auto val="1"/>
        <c:lblAlgn val="ctr"/>
        <c:lblOffset val="100"/>
      </c:catAx>
      <c:valAx>
        <c:axId val="85002496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000960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6.458333333333334E-2"/>
          <c:y val="2.7874564459930314E-2"/>
          <c:w val="0.9"/>
          <c:h val="6.968641114982578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2"/>
          <c:order val="1"/>
          <c:tx>
            <c:strRef>
              <c:f>Zał.1_WPF_bazowy!$C$42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Zał.1_WPF_bazowy!$I$42:$L$42</c:f>
              <c:numCache>
                <c:formatCode>#,##0.00_ ;[Red]\-#,##0.00\ </c:formatCode>
                <c:ptCount val="4"/>
                <c:pt idx="0">
                  <c:v>773956.19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2"/>
          <c:tx>
            <c:strRef>
              <c:f>Zał.1_WPF_bazowy!$C$30</c:f>
              <c:strCache>
                <c:ptCount val="1"/>
                <c:pt idx="0">
                  <c:v> Wydatki majątkowe</c:v>
                </c:pt>
              </c:strCache>
            </c:strRef>
          </c:tx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Zał.1_WPF_bazowy!$I$30:$L$30</c:f>
              <c:numCache>
                <c:formatCode>#,##0.00_ ;[Red]\-#,##0.00\ </c:formatCode>
                <c:ptCount val="4"/>
                <c:pt idx="0">
                  <c:v>4714500</c:v>
                </c:pt>
                <c:pt idx="1">
                  <c:v>1685000</c:v>
                </c:pt>
                <c:pt idx="2">
                  <c:v>2682000</c:v>
                </c:pt>
                <c:pt idx="3">
                  <c:v>2570000</c:v>
                </c:pt>
              </c:numCache>
            </c:numRef>
          </c:val>
        </c:ser>
        <c:overlap val="100"/>
        <c:axId val="85049344"/>
        <c:axId val="85050880"/>
      </c:barChart>
      <c:lineChart>
        <c:grouping val="standard"/>
        <c:ser>
          <c:idx val="1"/>
          <c:order val="0"/>
          <c:tx>
            <c:strRef>
              <c:f>Zał.1_WPF_bazowy!$C$51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Zał.1_WPF_bazowy!$I$51:$L$51</c:f>
              <c:numCache>
                <c:formatCode>#,##0.00_ ;[Red]\-#,##0.00\ </c:formatCode>
                <c:ptCount val="4"/>
                <c:pt idx="0">
                  <c:v>2364221.19</c:v>
                </c:pt>
                <c:pt idx="1">
                  <c:v>1685000</c:v>
                </c:pt>
                <c:pt idx="2">
                  <c:v>2682000</c:v>
                </c:pt>
                <c:pt idx="3">
                  <c:v>2570000</c:v>
                </c:pt>
              </c:numCache>
            </c:numRef>
          </c:val>
        </c:ser>
        <c:marker val="1"/>
        <c:axId val="85049344"/>
        <c:axId val="85050880"/>
      </c:lineChart>
      <c:catAx>
        <c:axId val="8504934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050880"/>
        <c:crosses val="autoZero"/>
        <c:auto val="1"/>
        <c:lblAlgn val="ctr"/>
        <c:lblOffset val="100"/>
      </c:catAx>
      <c:valAx>
        <c:axId val="85050880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049344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13333333333333333"/>
          <c:y val="2.7777777777777776E-2"/>
          <c:w val="0.78541666666666665"/>
          <c:h val="0.20833333333333334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Zał.1_WPF_bazowy!$I$59:$L$59</c:f>
              <c:numCache>
                <c:formatCode>0.00%;[Red]\-0.00%</c:formatCode>
                <c:ptCount val="4"/>
                <c:pt idx="0">
                  <c:v>0.18890000000000001</c:v>
                </c:pt>
                <c:pt idx="1">
                  <c:v>0.21790000000000001</c:v>
                </c:pt>
                <c:pt idx="2">
                  <c:v>0.1827</c:v>
                </c:pt>
                <c:pt idx="3">
                  <c:v>0.18679999999999999</c:v>
                </c:pt>
              </c:numCache>
            </c:numRef>
          </c:val>
        </c:ser>
        <c:ser>
          <c:idx val="1"/>
          <c:order val="1"/>
          <c:tx>
            <c:strRef>
              <c:f>Zał.1_WPF_bazowy!$C$54</c:f>
              <c:strCache>
                <c:ptCount val="1"/>
                <c:pt idx="0">
                  <c:v>(R+O) / D (bez wyłączeń)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Zał.1_WPF_bazowy!$I$54:$L$54</c:f>
              <c:numCache>
                <c:formatCode>0.00%;[Red]\-0.00%</c:formatCode>
                <c:ptCount val="4"/>
                <c:pt idx="0">
                  <c:v>5.6399999999999999E-2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071744"/>
        <c:axId val="85073280"/>
      </c:lineChart>
      <c:catAx>
        <c:axId val="8507174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073280"/>
        <c:crosses val="autoZero"/>
        <c:auto val="1"/>
        <c:lblAlgn val="ctr"/>
        <c:lblOffset val="100"/>
      </c:catAx>
      <c:valAx>
        <c:axId val="8507328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07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6250000000000001E-2"/>
          <c:y val="2.7777777777777776E-2"/>
          <c:w val="0.86875000000000002"/>
          <c:h val="0.18055555555555555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2"/>
          <c:order val="0"/>
          <c:tx>
            <c:strRef>
              <c:f>Zał.1_WPF_bazowy!$C$48</c:f>
              <c:strCache>
                <c:ptCount val="1"/>
                <c:pt idx="0">
                  <c:v>Kwota długu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Zał.1_WPF_bazowy!$I$48:$L$48</c:f>
              <c:numCache>
                <c:formatCode>#,##0.00_ ;[Red]\-#,##0.00\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Zał.1_WPF_bazowy!$C$42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Zał.1_WPF_bazowy!$I$42:$L$42</c:f>
              <c:numCache>
                <c:formatCode>#,##0.00_ ;[Red]\-#,##0.00\ </c:formatCode>
                <c:ptCount val="4"/>
                <c:pt idx="0">
                  <c:v>773956.19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2"/>
          <c:tx>
            <c:strRef>
              <c:f>Zał.1_WPF_bazowy!$C$26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Zał.1_WPF_bazowy!$I$26:$L$26</c:f>
              <c:numCache>
                <c:formatCode>#,##0.00_ ;[Red]\-#,##0.00\ </c:formatCode>
                <c:ptCount val="4"/>
                <c:pt idx="0">
                  <c:v>20000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119360"/>
        <c:axId val="85120896"/>
      </c:lineChart>
      <c:catAx>
        <c:axId val="8511936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120896"/>
        <c:crosses val="autoZero"/>
        <c:auto val="1"/>
        <c:lblAlgn val="ctr"/>
        <c:lblOffset val="100"/>
      </c:catAx>
      <c:valAx>
        <c:axId val="85120896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119360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12291666666666666"/>
          <c:y val="2.7777777777777776E-2"/>
          <c:w val="0.78541666666666665"/>
          <c:h val="0.20833333333333334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Zał.1_WPF_bazowy!$C$11</c:f>
              <c:strCache>
                <c:ptCount val="1"/>
                <c:pt idx="0">
                  <c:v> Dochody bieżące</c:v>
                </c:pt>
              </c:strCache>
            </c:strRef>
          </c:tx>
          <c:marker>
            <c:symbol val="none"/>
          </c:marker>
          <c:cat>
            <c:numRef>
              <c:f>(Zał.1_WPF_bazowy!$E$9:$F$9,Zał.1_WPF_bazowy!$H$9:$L$9)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(Zał.1_WPF_bazowy!$E$11:$F$11,Zał.1_WPF_bazowy!$H$11:$L$11)</c:f>
              <c:numCache>
                <c:formatCode>#,##0.00_ ;[Red]\-#,##0.00\ </c:formatCode>
                <c:ptCount val="7"/>
                <c:pt idx="0">
                  <c:v>10187163.27</c:v>
                </c:pt>
                <c:pt idx="1">
                  <c:v>12660364.539999999</c:v>
                </c:pt>
                <c:pt idx="2">
                  <c:v>11968299.93</c:v>
                </c:pt>
                <c:pt idx="3">
                  <c:v>11708269.67</c:v>
                </c:pt>
                <c:pt idx="4">
                  <c:v>10825000</c:v>
                </c:pt>
                <c:pt idx="5">
                  <c:v>12050000</c:v>
                </c:pt>
                <c:pt idx="6">
                  <c:v>12170000</c:v>
                </c:pt>
              </c:numCache>
            </c:numRef>
          </c:val>
        </c:ser>
        <c:ser>
          <c:idx val="1"/>
          <c:order val="1"/>
          <c:tx>
            <c:strRef>
              <c:f>Zał.1_WPF_bazowy!$C$22</c:f>
              <c:strCache>
                <c:ptCount val="1"/>
                <c:pt idx="0">
                  <c:v> Wydatki bieżące</c:v>
                </c:pt>
              </c:strCache>
            </c:strRef>
          </c:tx>
          <c:marker>
            <c:symbol val="none"/>
          </c:marker>
          <c:cat>
            <c:numRef>
              <c:f>(Zał.1_WPF_bazowy!$E$9:$F$9,Zał.1_WPF_bazowy!$H$9:$L$9)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(Zał.1_WPF_bazowy!$E$22:$F$22,Zał.1_WPF_bazowy!$H$22:$L$22)</c:f>
              <c:numCache>
                <c:formatCode>#,##0.00_ ;[Red]\-#,##0.00\ </c:formatCode>
                <c:ptCount val="7"/>
                <c:pt idx="0">
                  <c:v>9211865.6600000001</c:v>
                </c:pt>
                <c:pt idx="1">
                  <c:v>9055670.4299999997</c:v>
                </c:pt>
                <c:pt idx="2">
                  <c:v>9384342.0399999991</c:v>
                </c:pt>
                <c:pt idx="3">
                  <c:v>9344048.4800000004</c:v>
                </c:pt>
                <c:pt idx="4">
                  <c:v>9140000</c:v>
                </c:pt>
                <c:pt idx="5">
                  <c:v>9368000</c:v>
                </c:pt>
                <c:pt idx="6">
                  <c:v>9600000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85170816"/>
        <c:axId val="85172608"/>
      </c:lineChart>
      <c:catAx>
        <c:axId val="8517081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172608"/>
        <c:crosses val="autoZero"/>
        <c:auto val="1"/>
        <c:lblAlgn val="ctr"/>
        <c:lblOffset val="100"/>
      </c:catAx>
      <c:valAx>
        <c:axId val="8517260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170816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27500000000000002"/>
          <c:y val="2.7777777777777776E-2"/>
          <c:w val="0.51875000000000004"/>
          <c:h val="6.9444444444444448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152400</xdr:rowOff>
    </xdr:from>
    <xdr:to>
      <xdr:col>13</xdr:col>
      <xdr:colOff>638175</xdr:colOff>
      <xdr:row>17</xdr:row>
      <xdr:rowOff>0</xdr:rowOff>
    </xdr:to>
    <xdr:graphicFrame macro="">
      <xdr:nvGraphicFramePr>
        <xdr:cNvPr id="316737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457200</xdr:colOff>
      <xdr:row>17</xdr:row>
      <xdr:rowOff>28575</xdr:rowOff>
    </xdr:to>
    <xdr:graphicFrame macro="">
      <xdr:nvGraphicFramePr>
        <xdr:cNvPr id="316737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457200</xdr:colOff>
      <xdr:row>33</xdr:row>
      <xdr:rowOff>28575</xdr:rowOff>
    </xdr:to>
    <xdr:graphicFrame macro="">
      <xdr:nvGraphicFramePr>
        <xdr:cNvPr id="3167380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180975</xdr:colOff>
      <xdr:row>17</xdr:row>
      <xdr:rowOff>161925</xdr:rowOff>
    </xdr:from>
    <xdr:to>
      <xdr:col>13</xdr:col>
      <xdr:colOff>638175</xdr:colOff>
      <xdr:row>33</xdr:row>
      <xdr:rowOff>9525</xdr:rowOff>
    </xdr:to>
    <xdr:graphicFrame macro="">
      <xdr:nvGraphicFramePr>
        <xdr:cNvPr id="3167381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171450</xdr:colOff>
      <xdr:row>34</xdr:row>
      <xdr:rowOff>95250</xdr:rowOff>
    </xdr:from>
    <xdr:to>
      <xdr:col>13</xdr:col>
      <xdr:colOff>628650</xdr:colOff>
      <xdr:row>49</xdr:row>
      <xdr:rowOff>114300</xdr:rowOff>
    </xdr:to>
    <xdr:graphicFrame macro="">
      <xdr:nvGraphicFramePr>
        <xdr:cNvPr id="3167382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180975</xdr:colOff>
      <xdr:row>50</xdr:row>
      <xdr:rowOff>66675</xdr:rowOff>
    </xdr:from>
    <xdr:to>
      <xdr:col>13</xdr:col>
      <xdr:colOff>638175</xdr:colOff>
      <xdr:row>65</xdr:row>
      <xdr:rowOff>95250</xdr:rowOff>
    </xdr:to>
    <xdr:graphicFrame macro="">
      <xdr:nvGraphicFramePr>
        <xdr:cNvPr id="3167383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466725</xdr:colOff>
      <xdr:row>82</xdr:row>
      <xdr:rowOff>85725</xdr:rowOff>
    </xdr:to>
    <xdr:graphicFrame macro="">
      <xdr:nvGraphicFramePr>
        <xdr:cNvPr id="3167384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466725</xdr:colOff>
      <xdr:row>65</xdr:row>
      <xdr:rowOff>114300</xdr:rowOff>
    </xdr:to>
    <xdr:graphicFrame macro="">
      <xdr:nvGraphicFramePr>
        <xdr:cNvPr id="3167385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485775</xdr:colOff>
      <xdr:row>49</xdr:row>
      <xdr:rowOff>133350</xdr:rowOff>
    </xdr:to>
    <xdr:graphicFrame macro="">
      <xdr:nvGraphicFramePr>
        <xdr:cNvPr id="316738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190500</xdr:colOff>
      <xdr:row>67</xdr:row>
      <xdr:rowOff>66675</xdr:rowOff>
    </xdr:from>
    <xdr:to>
      <xdr:col>13</xdr:col>
      <xdr:colOff>647700</xdr:colOff>
      <xdr:row>82</xdr:row>
      <xdr:rowOff>95250</xdr:rowOff>
    </xdr:to>
    <xdr:graphicFrame macro="">
      <xdr:nvGraphicFramePr>
        <xdr:cNvPr id="3167387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457200</xdr:colOff>
      <xdr:row>99</xdr:row>
      <xdr:rowOff>123825</xdr:rowOff>
    </xdr:to>
    <xdr:graphicFrame macro="">
      <xdr:nvGraphicFramePr>
        <xdr:cNvPr id="3167388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180975</xdr:colOff>
      <xdr:row>84</xdr:row>
      <xdr:rowOff>114300</xdr:rowOff>
    </xdr:from>
    <xdr:to>
      <xdr:col>13</xdr:col>
      <xdr:colOff>638175</xdr:colOff>
      <xdr:row>99</xdr:row>
      <xdr:rowOff>142875</xdr:rowOff>
    </xdr:to>
    <xdr:graphicFrame macro="">
      <xdr:nvGraphicFramePr>
        <xdr:cNvPr id="3167389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L242"/>
  <sheetViews>
    <sheetView tabSelected="1" zoomScaleSheetLayoutView="100" workbookViewId="0">
      <pane xSplit="4" ySplit="9" topLeftCell="H61" activePane="bottomRight" state="frozen"/>
      <selection activeCell="H158" sqref="H158"/>
      <selection pane="topRight" activeCell="H158" sqref="H158"/>
      <selection pane="bottomLeft" activeCell="H158" sqref="H158"/>
      <selection pane="bottomRight" activeCell="I74" sqref="I74"/>
    </sheetView>
  </sheetViews>
  <sheetFormatPr defaultRowHeight="14.25" outlineLevelRow="5" outlineLevelCol="1"/>
  <cols>
    <col min="1" max="1" width="4.25" style="309" hidden="1" customWidth="1" outlineLevel="1"/>
    <col min="2" max="2" width="6.625" style="1" customWidth="1" collapsed="1"/>
    <col min="3" max="3" width="21.75" style="365" hidden="1" customWidth="1"/>
    <col min="4" max="4" width="70.625" style="1" customWidth="1"/>
    <col min="5" max="8" width="14" style="1" customWidth="1" outlineLevel="1"/>
    <col min="9" max="12" width="14" style="1" customWidth="1"/>
  </cols>
  <sheetData>
    <row r="1" spans="1:12">
      <c r="B1" s="123" t="s">
        <v>326</v>
      </c>
      <c r="C1" s="361"/>
      <c r="D1" s="78"/>
      <c r="E1" s="77"/>
      <c r="F1" s="77"/>
      <c r="G1" s="77"/>
      <c r="H1" s="77"/>
      <c r="I1" s="79" t="s">
        <v>425</v>
      </c>
      <c r="J1" s="77"/>
      <c r="K1" s="77"/>
      <c r="L1" s="77"/>
    </row>
    <row r="2" spans="1:12" ht="15">
      <c r="B2" s="124" t="s">
        <v>359</v>
      </c>
      <c r="C2" s="362"/>
      <c r="D2" s="125"/>
      <c r="E2" s="77"/>
      <c r="F2" s="77"/>
      <c r="G2" s="77"/>
      <c r="H2" s="77"/>
      <c r="I2" s="77"/>
      <c r="J2" s="77"/>
      <c r="K2" s="77"/>
      <c r="L2" s="77"/>
    </row>
    <row r="3" spans="1:12" ht="15">
      <c r="B3" s="124" t="s">
        <v>360</v>
      </c>
      <c r="C3" s="363"/>
      <c r="D3" s="78"/>
      <c r="E3" s="77"/>
      <c r="F3" s="77"/>
      <c r="G3" s="77"/>
      <c r="H3" s="77"/>
      <c r="I3" s="77"/>
      <c r="J3" s="77"/>
      <c r="K3" s="77"/>
      <c r="L3" s="77"/>
    </row>
    <row r="4" spans="1:12">
      <c r="B4" s="350" t="s">
        <v>333</v>
      </c>
      <c r="C4" s="364"/>
      <c r="D4" s="83" t="str">
        <f>DaneZrodlowe!B4</f>
        <v>XXIV/190/2014</v>
      </c>
      <c r="E4" s="77"/>
      <c r="F4" s="77"/>
      <c r="G4" s="77"/>
      <c r="H4" s="77"/>
      <c r="K4" s="77"/>
      <c r="L4" s="77"/>
    </row>
    <row r="5" spans="1:12">
      <c r="B5" s="351" t="s">
        <v>15</v>
      </c>
      <c r="D5" s="41" t="str">
        <f>DaneZrodlowe!C4</f>
        <v>KRZYŻANÓW</v>
      </c>
      <c r="E5" s="90"/>
      <c r="F5" s="114"/>
      <c r="G5" s="126"/>
      <c r="H5" s="90"/>
      <c r="K5" s="90"/>
      <c r="L5" s="77"/>
    </row>
    <row r="6" spans="1:12">
      <c r="B6" s="352" t="s">
        <v>16</v>
      </c>
      <c r="D6" s="42" t="str">
        <f>CONCATENATE(DaneZrodlowe!N1," - ",DaneZrodlowe!Q1)</f>
        <v>2014 - 2017</v>
      </c>
      <c r="K6" s="90"/>
      <c r="L6" s="76"/>
    </row>
    <row r="7" spans="1:12">
      <c r="E7" s="341"/>
      <c r="F7" s="341"/>
      <c r="G7" s="341"/>
      <c r="H7" s="341"/>
      <c r="K7" s="90"/>
      <c r="L7" s="77"/>
    </row>
    <row r="8" spans="1:12" ht="15.75">
      <c r="B8" s="77"/>
      <c r="C8" s="364"/>
      <c r="D8" s="90"/>
      <c r="E8" s="377" t="s">
        <v>335</v>
      </c>
      <c r="F8" s="377"/>
      <c r="G8" s="241" t="s">
        <v>334</v>
      </c>
      <c r="H8" s="241" t="s">
        <v>335</v>
      </c>
      <c r="I8" s="249" t="str">
        <f>""</f>
        <v/>
      </c>
      <c r="J8" s="240"/>
      <c r="K8" s="240"/>
      <c r="L8" s="240"/>
    </row>
    <row r="9" spans="1:12">
      <c r="A9" s="311" t="s">
        <v>348</v>
      </c>
      <c r="B9" s="28" t="s">
        <v>0</v>
      </c>
      <c r="C9" s="91" t="s">
        <v>441</v>
      </c>
      <c r="D9" s="291" t="s">
        <v>1</v>
      </c>
      <c r="E9" s="353">
        <f>+F9-1</f>
        <v>2011</v>
      </c>
      <c r="F9" s="354">
        <f>+G9-1</f>
        <v>2012</v>
      </c>
      <c r="G9" s="354">
        <f>+H9</f>
        <v>2013</v>
      </c>
      <c r="H9" s="355">
        <f>+I9-1</f>
        <v>2013</v>
      </c>
      <c r="I9" s="30">
        <f>+DaneZrodlowe!$N$1</f>
        <v>2014</v>
      </c>
      <c r="J9" s="29">
        <f>+I9+1</f>
        <v>2015</v>
      </c>
      <c r="K9" s="29">
        <f>+J9+1</f>
        <v>2016</v>
      </c>
      <c r="L9" s="29">
        <f>+K9+1</f>
        <v>2017</v>
      </c>
    </row>
    <row r="10" spans="1:12" outlineLevel="1">
      <c r="A10" s="309" t="s">
        <v>28</v>
      </c>
      <c r="B10" s="31">
        <v>1</v>
      </c>
      <c r="C10" s="366" t="s">
        <v>24</v>
      </c>
      <c r="D10" s="293" t="s">
        <v>24</v>
      </c>
      <c r="E10" s="66">
        <f>11735693.56</f>
        <v>11735693.560000001</v>
      </c>
      <c r="F10" s="33">
        <f>14062028.15</f>
        <v>14062028.15</v>
      </c>
      <c r="G10" s="33">
        <f>13471394.42</f>
        <v>13471394.42</v>
      </c>
      <c r="H10" s="34">
        <f>12708280.6</f>
        <v>12708280.6</v>
      </c>
      <c r="I10" s="35">
        <f>14088173.67</f>
        <v>14088173.67</v>
      </c>
      <c r="J10" s="36">
        <f>10825000</f>
        <v>10825000</v>
      </c>
      <c r="K10" s="36">
        <f>12050000</f>
        <v>12050000</v>
      </c>
      <c r="L10" s="36">
        <f>12170000</f>
        <v>12170000</v>
      </c>
    </row>
    <row r="11" spans="1:12" outlineLevel="2">
      <c r="A11" s="309" t="s">
        <v>28</v>
      </c>
      <c r="B11" s="32" t="s">
        <v>136</v>
      </c>
      <c r="C11" s="372" t="s">
        <v>40</v>
      </c>
      <c r="D11" s="294" t="s">
        <v>354</v>
      </c>
      <c r="E11" s="67">
        <f>10187163.27</f>
        <v>10187163.27</v>
      </c>
      <c r="F11" s="37">
        <f>12660364.54</f>
        <v>12660364.539999999</v>
      </c>
      <c r="G11" s="37">
        <f>12464064.42</f>
        <v>12464064.42</v>
      </c>
      <c r="H11" s="38">
        <f>11968299.93</f>
        <v>11968299.93</v>
      </c>
      <c r="I11" s="39">
        <f>11708269.67</f>
        <v>11708269.67</v>
      </c>
      <c r="J11" s="40">
        <f>10825000</f>
        <v>10825000</v>
      </c>
      <c r="K11" s="40">
        <f>12050000</f>
        <v>12050000</v>
      </c>
      <c r="L11" s="40">
        <f>12170000</f>
        <v>12170000</v>
      </c>
    </row>
    <row r="12" spans="1:12" outlineLevel="3">
      <c r="B12" s="32" t="s">
        <v>41</v>
      </c>
      <c r="C12" s="99" t="s">
        <v>42</v>
      </c>
      <c r="D12" s="295" t="s">
        <v>183</v>
      </c>
      <c r="E12" s="67">
        <f>976091</f>
        <v>976091</v>
      </c>
      <c r="F12" s="37">
        <f>1398132</f>
        <v>1398132</v>
      </c>
      <c r="G12" s="37">
        <f>1443005</f>
        <v>1443005</v>
      </c>
      <c r="H12" s="38">
        <f>1390365</f>
        <v>1390365</v>
      </c>
      <c r="I12" s="39">
        <f>1335088</f>
        <v>1335088</v>
      </c>
      <c r="J12" s="40">
        <f>1335088</f>
        <v>1335088</v>
      </c>
      <c r="K12" s="40">
        <f>1335088</f>
        <v>1335088</v>
      </c>
      <c r="L12" s="40">
        <f>1335088</f>
        <v>1335088</v>
      </c>
    </row>
    <row r="13" spans="1:12" outlineLevel="3">
      <c r="B13" s="32" t="s">
        <v>43</v>
      </c>
      <c r="C13" s="99" t="s">
        <v>44</v>
      </c>
      <c r="D13" s="295" t="s">
        <v>184</v>
      </c>
      <c r="E13" s="67">
        <f>7359.96</f>
        <v>7359.96</v>
      </c>
      <c r="F13" s="37">
        <f>873.76</f>
        <v>873.76</v>
      </c>
      <c r="G13" s="37">
        <f>1000</f>
        <v>1000</v>
      </c>
      <c r="H13" s="38">
        <f>654.23</f>
        <v>654.23</v>
      </c>
      <c r="I13" s="39">
        <f>1000</f>
        <v>1000</v>
      </c>
      <c r="J13" s="40">
        <f>1000</f>
        <v>1000</v>
      </c>
      <c r="K13" s="40">
        <f>1000</f>
        <v>1000</v>
      </c>
      <c r="L13" s="40">
        <f>1000</f>
        <v>1000</v>
      </c>
    </row>
    <row r="14" spans="1:12" outlineLevel="3">
      <c r="B14" s="32" t="s">
        <v>45</v>
      </c>
      <c r="C14" s="99" t="s">
        <v>46</v>
      </c>
      <c r="D14" s="295" t="s">
        <v>467</v>
      </c>
      <c r="E14" s="67">
        <f>3093016.26</f>
        <v>3093016.26</v>
      </c>
      <c r="F14" s="37">
        <f>4719070.97</f>
        <v>4719070.97</v>
      </c>
      <c r="G14" s="37">
        <f>3848642.4</f>
        <v>3848642.4</v>
      </c>
      <c r="H14" s="38">
        <f>3241540.05</f>
        <v>3241540.05</v>
      </c>
      <c r="I14" s="39">
        <f>3982101</f>
        <v>3982101</v>
      </c>
      <c r="J14" s="40">
        <f>4194000</f>
        <v>4194000</v>
      </c>
      <c r="K14" s="40">
        <f>5356000</f>
        <v>5356000</v>
      </c>
      <c r="L14" s="40">
        <f>5410000</f>
        <v>5410000</v>
      </c>
    </row>
    <row r="15" spans="1:12" outlineLevel="4">
      <c r="B15" s="32" t="s">
        <v>47</v>
      </c>
      <c r="C15" s="99" t="s">
        <v>48</v>
      </c>
      <c r="D15" s="296" t="s">
        <v>185</v>
      </c>
      <c r="E15" s="67">
        <f>849319.19</f>
        <v>849319.19</v>
      </c>
      <c r="F15" s="37">
        <f>1608877.11</f>
        <v>1608877.11</v>
      </c>
      <c r="G15" s="37">
        <f>1644617.4</f>
        <v>1644617.4</v>
      </c>
      <c r="H15" s="38">
        <f>1467888.16</f>
        <v>1467888.16</v>
      </c>
      <c r="I15" s="39">
        <f>1487389</f>
        <v>1487389</v>
      </c>
      <c r="J15" s="40">
        <f>1674000</f>
        <v>1674000</v>
      </c>
      <c r="K15" s="40">
        <f>2811000</f>
        <v>2811000</v>
      </c>
      <c r="L15" s="40">
        <f>2839000</f>
        <v>2839000</v>
      </c>
    </row>
    <row r="16" spans="1:12" outlineLevel="3">
      <c r="B16" s="32" t="s">
        <v>49</v>
      </c>
      <c r="C16" s="99" t="s">
        <v>50</v>
      </c>
      <c r="D16" s="295" t="s">
        <v>186</v>
      </c>
      <c r="E16" s="67">
        <f>4037554</f>
        <v>4037554</v>
      </c>
      <c r="F16" s="37">
        <f>4481337</f>
        <v>4481337</v>
      </c>
      <c r="G16" s="37">
        <f>4504728</f>
        <v>4504728</v>
      </c>
      <c r="H16" s="38">
        <f>4504728</f>
        <v>4504728</v>
      </c>
      <c r="I16" s="39">
        <f>3274658</f>
        <v>3274658</v>
      </c>
      <c r="J16" s="40">
        <f>3294922</f>
        <v>3294922</v>
      </c>
      <c r="K16" s="40">
        <f>3294922</f>
        <v>3294922</v>
      </c>
      <c r="L16" s="40">
        <f>3294922</f>
        <v>3294922</v>
      </c>
    </row>
    <row r="17" spans="1:12" outlineLevel="3">
      <c r="B17" s="32" t="s">
        <v>51</v>
      </c>
      <c r="C17" s="99" t="s">
        <v>52</v>
      </c>
      <c r="D17" s="295" t="s">
        <v>187</v>
      </c>
      <c r="E17" s="67">
        <f>2073142.05</f>
        <v>2073142.05</v>
      </c>
      <c r="F17" s="37">
        <f>2060950.81</f>
        <v>2060950.81</v>
      </c>
      <c r="G17" s="37">
        <f>1980030.02</f>
        <v>1980030.02</v>
      </c>
      <c r="H17" s="38">
        <f>2099883.43</f>
        <v>2099883.4300000002</v>
      </c>
      <c r="I17" s="39">
        <f>1598695.67</f>
        <v>1598695.67</v>
      </c>
      <c r="J17" s="40">
        <f>1350903</f>
        <v>1350903</v>
      </c>
      <c r="K17" s="40">
        <f>1350903</f>
        <v>1350903</v>
      </c>
      <c r="L17" s="40">
        <f>1350903</f>
        <v>1350903</v>
      </c>
    </row>
    <row r="18" spans="1:12" outlineLevel="2">
      <c r="A18" s="309" t="s">
        <v>28</v>
      </c>
      <c r="B18" s="32" t="s">
        <v>137</v>
      </c>
      <c r="C18" s="99" t="s">
        <v>432</v>
      </c>
      <c r="D18" s="294" t="s">
        <v>466</v>
      </c>
      <c r="E18" s="67">
        <f>1548530.29</f>
        <v>1548530.29</v>
      </c>
      <c r="F18" s="37">
        <f>1401663.61</f>
        <v>1401663.61</v>
      </c>
      <c r="G18" s="37">
        <f>1007330</f>
        <v>1007330</v>
      </c>
      <c r="H18" s="38">
        <f>739980.67</f>
        <v>739980.67</v>
      </c>
      <c r="I18" s="39">
        <f>2379904</f>
        <v>2379904</v>
      </c>
      <c r="J18" s="40">
        <f>0</f>
        <v>0</v>
      </c>
      <c r="K18" s="40">
        <f>0</f>
        <v>0</v>
      </c>
      <c r="L18" s="40">
        <f>0</f>
        <v>0</v>
      </c>
    </row>
    <row r="19" spans="1:12" outlineLevel="3">
      <c r="A19" s="309" t="s">
        <v>28</v>
      </c>
      <c r="B19" s="32" t="s">
        <v>54</v>
      </c>
      <c r="C19" s="99" t="s">
        <v>55</v>
      </c>
      <c r="D19" s="295" t="s">
        <v>27</v>
      </c>
      <c r="E19" s="67">
        <f>140492.99</f>
        <v>140492.99</v>
      </c>
      <c r="F19" s="37">
        <f>69038.91</f>
        <v>69038.91</v>
      </c>
      <c r="G19" s="37">
        <f>330000</f>
        <v>330000</v>
      </c>
      <c r="H19" s="38">
        <f>6200</f>
        <v>6200</v>
      </c>
      <c r="I19" s="39">
        <f>200000</f>
        <v>200000</v>
      </c>
      <c r="J19" s="40">
        <f>0</f>
        <v>0</v>
      </c>
      <c r="K19" s="40">
        <f>0</f>
        <v>0</v>
      </c>
      <c r="L19" s="40">
        <f>0</f>
        <v>0</v>
      </c>
    </row>
    <row r="20" spans="1:12" outlineLevel="3">
      <c r="B20" s="32" t="s">
        <v>56</v>
      </c>
      <c r="C20" s="99" t="s">
        <v>57</v>
      </c>
      <c r="D20" s="295" t="s">
        <v>188</v>
      </c>
      <c r="E20" s="67">
        <f>1405937.3</f>
        <v>1405937.3</v>
      </c>
      <c r="F20" s="37">
        <f>1332324.7</f>
        <v>1332324.7</v>
      </c>
      <c r="G20" s="37">
        <f>664102</f>
        <v>664102</v>
      </c>
      <c r="H20" s="38">
        <f>720552.67</f>
        <v>720552.67</v>
      </c>
      <c r="I20" s="39">
        <f>2179904</f>
        <v>2179904</v>
      </c>
      <c r="J20" s="40">
        <f>0</f>
        <v>0</v>
      </c>
      <c r="K20" s="40">
        <f>0</f>
        <v>0</v>
      </c>
      <c r="L20" s="40">
        <f>0</f>
        <v>0</v>
      </c>
    </row>
    <row r="21" spans="1:12" outlineLevel="1">
      <c r="A21" s="309" t="s">
        <v>28</v>
      </c>
      <c r="B21" s="31">
        <v>2</v>
      </c>
      <c r="C21" s="366" t="s">
        <v>19</v>
      </c>
      <c r="D21" s="293" t="s">
        <v>19</v>
      </c>
      <c r="E21" s="66">
        <f>12835915.98</f>
        <v>12835915.98</v>
      </c>
      <c r="F21" s="33">
        <f>11481546.43</f>
        <v>11481546.43</v>
      </c>
      <c r="G21" s="33">
        <f>14584700.7</f>
        <v>14584700.699999999</v>
      </c>
      <c r="H21" s="34">
        <f>13777530.74</f>
        <v>13777530.74</v>
      </c>
      <c r="I21" s="35">
        <f>14058548.48</f>
        <v>14058548.48</v>
      </c>
      <c r="J21" s="36">
        <f>10825000</f>
        <v>10825000</v>
      </c>
      <c r="K21" s="36">
        <f>12050000</f>
        <v>12050000</v>
      </c>
      <c r="L21" s="36">
        <f>12170000</f>
        <v>12170000</v>
      </c>
    </row>
    <row r="22" spans="1:12" outlineLevel="2">
      <c r="A22" s="309" t="s">
        <v>28</v>
      </c>
      <c r="B22" s="32" t="s">
        <v>138</v>
      </c>
      <c r="C22" s="372" t="s">
        <v>433</v>
      </c>
      <c r="D22" s="294" t="s">
        <v>189</v>
      </c>
      <c r="E22" s="67">
        <f>9211865.66</f>
        <v>9211865.6600000001</v>
      </c>
      <c r="F22" s="37">
        <f>9055670.43</f>
        <v>9055670.4299999997</v>
      </c>
      <c r="G22" s="37">
        <f>9959324.7</f>
        <v>9959324.6999999993</v>
      </c>
      <c r="H22" s="38">
        <f>9384342.04</f>
        <v>9384342.0399999991</v>
      </c>
      <c r="I22" s="39">
        <f>9344048.48</f>
        <v>9344048.4800000004</v>
      </c>
      <c r="J22" s="40">
        <f>9140000</f>
        <v>9140000</v>
      </c>
      <c r="K22" s="40">
        <f>9368000</f>
        <v>9368000</v>
      </c>
      <c r="L22" s="40">
        <f>9600000</f>
        <v>9600000</v>
      </c>
    </row>
    <row r="23" spans="1:12" outlineLevel="3">
      <c r="A23" s="309" t="s">
        <v>28</v>
      </c>
      <c r="B23" s="32" t="s">
        <v>59</v>
      </c>
      <c r="C23" s="99" t="s">
        <v>60</v>
      </c>
      <c r="D23" s="295" t="s">
        <v>465</v>
      </c>
      <c r="E23" s="67">
        <f>0</f>
        <v>0</v>
      </c>
      <c r="F23" s="37">
        <f>0</f>
        <v>0</v>
      </c>
      <c r="G23" s="37">
        <f>0</f>
        <v>0</v>
      </c>
      <c r="H23" s="38">
        <f>0</f>
        <v>0</v>
      </c>
      <c r="I23" s="39">
        <f>0</f>
        <v>0</v>
      </c>
      <c r="J23" s="40">
        <f>0</f>
        <v>0</v>
      </c>
      <c r="K23" s="40">
        <f>0</f>
        <v>0</v>
      </c>
      <c r="L23" s="40">
        <f>0</f>
        <v>0</v>
      </c>
    </row>
    <row r="24" spans="1:12" ht="24" outlineLevel="4">
      <c r="A24" s="309" t="s">
        <v>28</v>
      </c>
      <c r="B24" s="32" t="s">
        <v>61</v>
      </c>
      <c r="C24" s="99" t="s">
        <v>364</v>
      </c>
      <c r="D24" s="296" t="s">
        <v>464</v>
      </c>
      <c r="E24" s="67">
        <f>0</f>
        <v>0</v>
      </c>
      <c r="F24" s="37">
        <f>0</f>
        <v>0</v>
      </c>
      <c r="G24" s="37">
        <f>0</f>
        <v>0</v>
      </c>
      <c r="H24" s="38">
        <f>0</f>
        <v>0</v>
      </c>
      <c r="I24" s="39">
        <f>0</f>
        <v>0</v>
      </c>
      <c r="J24" s="40">
        <f>0</f>
        <v>0</v>
      </c>
      <c r="K24" s="40">
        <f>0</f>
        <v>0</v>
      </c>
      <c r="L24" s="40">
        <f>0</f>
        <v>0</v>
      </c>
    </row>
    <row r="25" spans="1:12" ht="36" outlineLevel="3">
      <c r="B25" s="32" t="s">
        <v>62</v>
      </c>
      <c r="C25" s="99" t="s">
        <v>365</v>
      </c>
      <c r="D25" s="295" t="s">
        <v>488</v>
      </c>
      <c r="E25" s="67">
        <f>0</f>
        <v>0</v>
      </c>
      <c r="F25" s="37">
        <f>0</f>
        <v>0</v>
      </c>
      <c r="G25" s="37">
        <f>0</f>
        <v>0</v>
      </c>
      <c r="H25" s="38">
        <f>0</f>
        <v>0</v>
      </c>
      <c r="I25" s="39">
        <f>0</f>
        <v>0</v>
      </c>
      <c r="J25" s="40">
        <f>0</f>
        <v>0</v>
      </c>
      <c r="K25" s="40">
        <f>0</f>
        <v>0</v>
      </c>
      <c r="L25" s="40">
        <f>0</f>
        <v>0</v>
      </c>
    </row>
    <row r="26" spans="1:12" outlineLevel="3">
      <c r="A26" s="309" t="s">
        <v>28</v>
      </c>
      <c r="B26" s="32" t="s">
        <v>63</v>
      </c>
      <c r="C26" s="99" t="s">
        <v>366</v>
      </c>
      <c r="D26" s="295" t="s">
        <v>190</v>
      </c>
      <c r="E26" s="67">
        <f>41411.77</f>
        <v>41411.769999999997</v>
      </c>
      <c r="F26" s="37">
        <f>84758.58</f>
        <v>84758.58</v>
      </c>
      <c r="G26" s="37">
        <f>95000</f>
        <v>95000</v>
      </c>
      <c r="H26" s="38">
        <f>36975.83</f>
        <v>36975.83</v>
      </c>
      <c r="I26" s="39">
        <f>20000</f>
        <v>20000</v>
      </c>
      <c r="J26" s="40">
        <f>0</f>
        <v>0</v>
      </c>
      <c r="K26" s="40">
        <f>0</f>
        <v>0</v>
      </c>
      <c r="L26" s="40">
        <f>0</f>
        <v>0</v>
      </c>
    </row>
    <row r="27" spans="1:12" outlineLevel="4">
      <c r="A27" s="309" t="s">
        <v>28</v>
      </c>
      <c r="B27" s="32" t="s">
        <v>64</v>
      </c>
      <c r="C27" s="99" t="s">
        <v>367</v>
      </c>
      <c r="D27" s="296" t="s">
        <v>487</v>
      </c>
      <c r="E27" s="67">
        <f>38272.47</f>
        <v>38272.47</v>
      </c>
      <c r="F27" s="37">
        <f>83194.59</f>
        <v>83194.59</v>
      </c>
      <c r="G27" s="37">
        <f>95000</f>
        <v>95000</v>
      </c>
      <c r="H27" s="38">
        <f>36075.83</f>
        <v>36075.83</v>
      </c>
      <c r="I27" s="39">
        <f>20000</f>
        <v>20000</v>
      </c>
      <c r="J27" s="40">
        <f>0</f>
        <v>0</v>
      </c>
      <c r="K27" s="40">
        <f>0</f>
        <v>0</v>
      </c>
      <c r="L27" s="40">
        <f>0</f>
        <v>0</v>
      </c>
    </row>
    <row r="28" spans="1:12" ht="36" outlineLevel="5">
      <c r="A28" s="309" t="s">
        <v>28</v>
      </c>
      <c r="B28" s="32" t="s">
        <v>368</v>
      </c>
      <c r="C28" s="99" t="s">
        <v>369</v>
      </c>
      <c r="D28" s="373" t="s">
        <v>442</v>
      </c>
      <c r="E28" s="67">
        <f>0</f>
        <v>0</v>
      </c>
      <c r="F28" s="37">
        <f>0</f>
        <v>0</v>
      </c>
      <c r="G28" s="37">
        <f>0</f>
        <v>0</v>
      </c>
      <c r="H28" s="38">
        <f>0</f>
        <v>0</v>
      </c>
      <c r="I28" s="39">
        <f>0</f>
        <v>0</v>
      </c>
      <c r="J28" s="40">
        <f>0</f>
        <v>0</v>
      </c>
      <c r="K28" s="40">
        <f>0</f>
        <v>0</v>
      </c>
      <c r="L28" s="40">
        <f>0</f>
        <v>0</v>
      </c>
    </row>
    <row r="29" spans="1:12" ht="24" outlineLevel="5">
      <c r="A29" s="309" t="s">
        <v>28</v>
      </c>
      <c r="B29" s="32" t="s">
        <v>370</v>
      </c>
      <c r="C29" s="99" t="s">
        <v>371</v>
      </c>
      <c r="D29" s="373" t="s">
        <v>443</v>
      </c>
      <c r="E29" s="67">
        <f>0</f>
        <v>0</v>
      </c>
      <c r="F29" s="37">
        <f>0</f>
        <v>0</v>
      </c>
      <c r="G29" s="37">
        <f>0</f>
        <v>0</v>
      </c>
      <c r="H29" s="38">
        <f>0</f>
        <v>0</v>
      </c>
      <c r="I29" s="39">
        <f>0</f>
        <v>0</v>
      </c>
      <c r="J29" s="40">
        <f>0</f>
        <v>0</v>
      </c>
      <c r="K29" s="40">
        <f>0</f>
        <v>0</v>
      </c>
      <c r="L29" s="40">
        <f>0</f>
        <v>0</v>
      </c>
    </row>
    <row r="30" spans="1:12" outlineLevel="2">
      <c r="A30" s="309" t="s">
        <v>28</v>
      </c>
      <c r="B30" s="32" t="s">
        <v>139</v>
      </c>
      <c r="C30" s="99" t="s">
        <v>65</v>
      </c>
      <c r="D30" s="294" t="s">
        <v>20</v>
      </c>
      <c r="E30" s="67">
        <f>3624050.32</f>
        <v>3624050.32</v>
      </c>
      <c r="F30" s="37">
        <f>2425876</f>
        <v>2425876</v>
      </c>
      <c r="G30" s="37">
        <f>4625376</f>
        <v>4625376</v>
      </c>
      <c r="H30" s="38">
        <f>4393188.7</f>
        <v>4393188.7</v>
      </c>
      <c r="I30" s="39">
        <f>4714500</f>
        <v>4714500</v>
      </c>
      <c r="J30" s="40">
        <f>1685000</f>
        <v>1685000</v>
      </c>
      <c r="K30" s="40">
        <f>2682000</f>
        <v>2682000</v>
      </c>
      <c r="L30" s="40">
        <f>2570000</f>
        <v>2570000</v>
      </c>
    </row>
    <row r="31" spans="1:12" outlineLevel="1">
      <c r="A31" s="309" t="s">
        <v>28</v>
      </c>
      <c r="B31" s="31">
        <v>3</v>
      </c>
      <c r="C31" s="366" t="s">
        <v>21</v>
      </c>
      <c r="D31" s="293" t="s">
        <v>21</v>
      </c>
      <c r="E31" s="66">
        <f>-1100222.42</f>
        <v>-1100222.42</v>
      </c>
      <c r="F31" s="33">
        <f>2580481.72</f>
        <v>2580481.7200000002</v>
      </c>
      <c r="G31" s="33">
        <f>-1113306.28</f>
        <v>-1113306.28</v>
      </c>
      <c r="H31" s="34">
        <f>-1069250.14</f>
        <v>-1069250.1399999999</v>
      </c>
      <c r="I31" s="35">
        <f>29625.19</f>
        <v>29625.19</v>
      </c>
      <c r="J31" s="36">
        <f>0</f>
        <v>0</v>
      </c>
      <c r="K31" s="36">
        <f>0</f>
        <v>0</v>
      </c>
      <c r="L31" s="36">
        <f>0</f>
        <v>0</v>
      </c>
    </row>
    <row r="32" spans="1:12" outlineLevel="1">
      <c r="A32" s="309" t="s">
        <v>28</v>
      </c>
      <c r="B32" s="31">
        <v>4</v>
      </c>
      <c r="C32" s="366" t="s">
        <v>22</v>
      </c>
      <c r="D32" s="293" t="s">
        <v>22</v>
      </c>
      <c r="E32" s="66">
        <f>2625223.85</f>
        <v>2625223.85</v>
      </c>
      <c r="F32" s="33">
        <f>1050519.37</f>
        <v>1050519.3700000001</v>
      </c>
      <c r="G32" s="33">
        <f>1850827.74</f>
        <v>1850827.74</v>
      </c>
      <c r="H32" s="34">
        <f>2496104.74</f>
        <v>2496104.7400000002</v>
      </c>
      <c r="I32" s="35">
        <f>769331</f>
        <v>769331</v>
      </c>
      <c r="J32" s="36">
        <f>0</f>
        <v>0</v>
      </c>
      <c r="K32" s="36">
        <f>0</f>
        <v>0</v>
      </c>
      <c r="L32" s="36">
        <f>0</f>
        <v>0</v>
      </c>
    </row>
    <row r="33" spans="1:12" outlineLevel="2">
      <c r="A33" s="309" t="s">
        <v>28</v>
      </c>
      <c r="B33" s="32" t="s">
        <v>140</v>
      </c>
      <c r="C33" s="99" t="s">
        <v>66</v>
      </c>
      <c r="D33" s="294" t="s">
        <v>362</v>
      </c>
      <c r="E33" s="67">
        <f>0</f>
        <v>0</v>
      </c>
      <c r="F33" s="37">
        <f>0</f>
        <v>0</v>
      </c>
      <c r="G33" s="37">
        <f>314668.09</f>
        <v>314668.09000000003</v>
      </c>
      <c r="H33" s="38">
        <f>959945.09</f>
        <v>959945.09</v>
      </c>
      <c r="I33" s="39">
        <f>0</f>
        <v>0</v>
      </c>
      <c r="J33" s="40">
        <f>0</f>
        <v>0</v>
      </c>
      <c r="K33" s="40">
        <f>0</f>
        <v>0</v>
      </c>
      <c r="L33" s="40">
        <f>0</f>
        <v>0</v>
      </c>
    </row>
    <row r="34" spans="1:12" outlineLevel="3">
      <c r="A34" s="309" t="s">
        <v>28</v>
      </c>
      <c r="B34" s="32" t="s">
        <v>67</v>
      </c>
      <c r="C34" s="99" t="s">
        <v>68</v>
      </c>
      <c r="D34" s="295" t="s">
        <v>485</v>
      </c>
      <c r="E34" s="67">
        <f>0</f>
        <v>0</v>
      </c>
      <c r="F34" s="37">
        <f>0</f>
        <v>0</v>
      </c>
      <c r="G34" s="37">
        <f>0</f>
        <v>0</v>
      </c>
      <c r="H34" s="38">
        <f>247105.63</f>
        <v>247105.63</v>
      </c>
      <c r="I34" s="39">
        <f>0</f>
        <v>0</v>
      </c>
      <c r="J34" s="40">
        <f>0</f>
        <v>0</v>
      </c>
      <c r="K34" s="40">
        <f>0</f>
        <v>0</v>
      </c>
      <c r="L34" s="40">
        <f>0</f>
        <v>0</v>
      </c>
    </row>
    <row r="35" spans="1:12" outlineLevel="2">
      <c r="A35" s="309" t="s">
        <v>28</v>
      </c>
      <c r="B35" s="32" t="s">
        <v>141</v>
      </c>
      <c r="C35" s="99" t="s">
        <v>69</v>
      </c>
      <c r="D35" s="294" t="s">
        <v>361</v>
      </c>
      <c r="E35" s="67">
        <f>186016.39</f>
        <v>186016.39</v>
      </c>
      <c r="F35" s="37">
        <f>902519.37</f>
        <v>902519.37</v>
      </c>
      <c r="G35" s="37">
        <f>1422477.65</f>
        <v>1422477.65</v>
      </c>
      <c r="H35" s="38">
        <f>1422477.65</f>
        <v>1422477.65</v>
      </c>
      <c r="I35" s="39">
        <f>769331</f>
        <v>769331</v>
      </c>
      <c r="J35" s="40">
        <f>0</f>
        <v>0</v>
      </c>
      <c r="K35" s="40">
        <f>0</f>
        <v>0</v>
      </c>
      <c r="L35" s="40">
        <f>0</f>
        <v>0</v>
      </c>
    </row>
    <row r="36" spans="1:12" outlineLevel="3">
      <c r="A36" s="309" t="s">
        <v>28</v>
      </c>
      <c r="B36" s="32" t="s">
        <v>70</v>
      </c>
      <c r="C36" s="99" t="s">
        <v>71</v>
      </c>
      <c r="D36" s="295" t="s">
        <v>485</v>
      </c>
      <c r="E36" s="67">
        <f>0</f>
        <v>0</v>
      </c>
      <c r="F36" s="37">
        <f>0</f>
        <v>0</v>
      </c>
      <c r="G36" s="37">
        <f>1024306.28</f>
        <v>1024306.28</v>
      </c>
      <c r="H36" s="38">
        <f>733144.51</f>
        <v>733144.51</v>
      </c>
      <c r="I36" s="39">
        <f>0</f>
        <v>0</v>
      </c>
      <c r="J36" s="40">
        <f>0</f>
        <v>0</v>
      </c>
      <c r="K36" s="40">
        <f>0</f>
        <v>0</v>
      </c>
      <c r="L36" s="40">
        <f>0</f>
        <v>0</v>
      </c>
    </row>
    <row r="37" spans="1:12" outlineLevel="2">
      <c r="A37" s="309" t="s">
        <v>28</v>
      </c>
      <c r="B37" s="32" t="s">
        <v>142</v>
      </c>
      <c r="C37" s="99" t="s">
        <v>72</v>
      </c>
      <c r="D37" s="294" t="s">
        <v>486</v>
      </c>
      <c r="E37" s="67">
        <f>2417813.74</f>
        <v>2417813.7400000002</v>
      </c>
      <c r="F37" s="37">
        <f>148000</f>
        <v>148000</v>
      </c>
      <c r="G37" s="37">
        <f>89000</f>
        <v>89000</v>
      </c>
      <c r="H37" s="38">
        <f>89000</f>
        <v>89000</v>
      </c>
      <c r="I37" s="39">
        <f>0</f>
        <v>0</v>
      </c>
      <c r="J37" s="40">
        <f>0</f>
        <v>0</v>
      </c>
      <c r="K37" s="40">
        <f>0</f>
        <v>0</v>
      </c>
      <c r="L37" s="40">
        <f>0</f>
        <v>0</v>
      </c>
    </row>
    <row r="38" spans="1:12" outlineLevel="3">
      <c r="A38" s="309" t="s">
        <v>28</v>
      </c>
      <c r="B38" s="32" t="s">
        <v>73</v>
      </c>
      <c r="C38" s="99" t="s">
        <v>71</v>
      </c>
      <c r="D38" s="295" t="s">
        <v>485</v>
      </c>
      <c r="E38" s="67">
        <f>1100222.42</f>
        <v>1100222.42</v>
      </c>
      <c r="F38" s="37">
        <f>0</f>
        <v>0</v>
      </c>
      <c r="G38" s="37">
        <f>89000</f>
        <v>89000</v>
      </c>
      <c r="H38" s="38">
        <f>89000</f>
        <v>89000</v>
      </c>
      <c r="I38" s="39">
        <f>0</f>
        <v>0</v>
      </c>
      <c r="J38" s="40">
        <f>0</f>
        <v>0</v>
      </c>
      <c r="K38" s="40">
        <f>0</f>
        <v>0</v>
      </c>
      <c r="L38" s="40">
        <f>0</f>
        <v>0</v>
      </c>
    </row>
    <row r="39" spans="1:12" outlineLevel="2">
      <c r="A39" s="309" t="s">
        <v>28</v>
      </c>
      <c r="B39" s="32" t="s">
        <v>143</v>
      </c>
      <c r="C39" s="99" t="s">
        <v>74</v>
      </c>
      <c r="D39" s="294" t="s">
        <v>74</v>
      </c>
      <c r="E39" s="67">
        <f>21393.72</f>
        <v>21393.72</v>
      </c>
      <c r="F39" s="37">
        <f>0</f>
        <v>0</v>
      </c>
      <c r="G39" s="37">
        <f>24682</f>
        <v>24682</v>
      </c>
      <c r="H39" s="38">
        <f>24682</f>
        <v>24682</v>
      </c>
      <c r="I39" s="39">
        <f>0</f>
        <v>0</v>
      </c>
      <c r="J39" s="40">
        <f>0</f>
        <v>0</v>
      </c>
      <c r="K39" s="40">
        <f>0</f>
        <v>0</v>
      </c>
      <c r="L39" s="40">
        <f>0</f>
        <v>0</v>
      </c>
    </row>
    <row r="40" spans="1:12" outlineLevel="3">
      <c r="A40" s="309" t="s">
        <v>28</v>
      </c>
      <c r="B40" s="32" t="s">
        <v>75</v>
      </c>
      <c r="C40" s="99" t="s">
        <v>71</v>
      </c>
      <c r="D40" s="295" t="s">
        <v>485</v>
      </c>
      <c r="E40" s="67">
        <f>0</f>
        <v>0</v>
      </c>
      <c r="F40" s="37">
        <f>0</f>
        <v>0</v>
      </c>
      <c r="G40" s="37">
        <f>0</f>
        <v>0</v>
      </c>
      <c r="H40" s="38">
        <f>0</f>
        <v>0</v>
      </c>
      <c r="I40" s="39">
        <f>0</f>
        <v>0</v>
      </c>
      <c r="J40" s="40">
        <f>0</f>
        <v>0</v>
      </c>
      <c r="K40" s="40">
        <f>0</f>
        <v>0</v>
      </c>
      <c r="L40" s="40">
        <f>0</f>
        <v>0</v>
      </c>
    </row>
    <row r="41" spans="1:12" outlineLevel="1">
      <c r="A41" s="309" t="s">
        <v>28</v>
      </c>
      <c r="B41" s="31">
        <v>5</v>
      </c>
      <c r="C41" s="366" t="s">
        <v>76</v>
      </c>
      <c r="D41" s="293" t="s">
        <v>76</v>
      </c>
      <c r="E41" s="66">
        <f>601088.34</f>
        <v>601088.34</v>
      </c>
      <c r="F41" s="33">
        <f>1303202.75</f>
        <v>1303202.75</v>
      </c>
      <c r="G41" s="33">
        <f>737521.46</f>
        <v>737521.46</v>
      </c>
      <c r="H41" s="34">
        <f>737521.46</f>
        <v>737521.46</v>
      </c>
      <c r="I41" s="35">
        <f>798956.19</f>
        <v>798956.19</v>
      </c>
      <c r="J41" s="36">
        <f>0</f>
        <v>0</v>
      </c>
      <c r="K41" s="36">
        <f>0</f>
        <v>0</v>
      </c>
      <c r="L41" s="36">
        <f>0</f>
        <v>0</v>
      </c>
    </row>
    <row r="42" spans="1:12" outlineLevel="2">
      <c r="A42" s="309" t="s">
        <v>28</v>
      </c>
      <c r="B42" s="32" t="s">
        <v>144</v>
      </c>
      <c r="C42" s="99" t="s">
        <v>77</v>
      </c>
      <c r="D42" s="294" t="s">
        <v>484</v>
      </c>
      <c r="E42" s="67">
        <f>601088.34</f>
        <v>601088.34</v>
      </c>
      <c r="F42" s="37">
        <f>1278520.75</f>
        <v>1278520.75</v>
      </c>
      <c r="G42" s="37">
        <f>737521.46</f>
        <v>737521.46</v>
      </c>
      <c r="H42" s="38">
        <f>737521.46</f>
        <v>737521.46</v>
      </c>
      <c r="I42" s="39">
        <f>773956.19</f>
        <v>773956.19</v>
      </c>
      <c r="J42" s="40">
        <f>0</f>
        <v>0</v>
      </c>
      <c r="K42" s="40">
        <f>0</f>
        <v>0</v>
      </c>
      <c r="L42" s="40">
        <f>0</f>
        <v>0</v>
      </c>
    </row>
    <row r="43" spans="1:12" ht="24" outlineLevel="3">
      <c r="A43" s="309" t="s">
        <v>28</v>
      </c>
      <c r="B43" s="32" t="s">
        <v>78</v>
      </c>
      <c r="C43" s="99" t="s">
        <v>376</v>
      </c>
      <c r="D43" s="295" t="s">
        <v>483</v>
      </c>
      <c r="E43" s="67">
        <f>552822</f>
        <v>552822</v>
      </c>
      <c r="F43" s="37">
        <f>595645.15</f>
        <v>595645.15</v>
      </c>
      <c r="G43" s="37">
        <f>0</f>
        <v>0</v>
      </c>
      <c r="H43" s="38">
        <f>0</f>
        <v>0</v>
      </c>
      <c r="I43" s="39">
        <f>0</f>
        <v>0</v>
      </c>
      <c r="J43" s="40">
        <f>0</f>
        <v>0</v>
      </c>
      <c r="K43" s="40">
        <f>0</f>
        <v>0</v>
      </c>
      <c r="L43" s="40">
        <f>0</f>
        <v>0</v>
      </c>
    </row>
    <row r="44" spans="1:12" outlineLevel="4">
      <c r="A44" s="309" t="s">
        <v>28</v>
      </c>
      <c r="B44" s="32" t="s">
        <v>79</v>
      </c>
      <c r="C44" s="99" t="s">
        <v>377</v>
      </c>
      <c r="D44" s="296" t="s">
        <v>482</v>
      </c>
      <c r="E44" s="67">
        <f>552822</f>
        <v>552822</v>
      </c>
      <c r="F44" s="37">
        <f>595645.15</f>
        <v>595645.15</v>
      </c>
      <c r="G44" s="37">
        <f>0</f>
        <v>0</v>
      </c>
      <c r="H44" s="38">
        <f>0</f>
        <v>0</v>
      </c>
      <c r="I44" s="39">
        <f>0</f>
        <v>0</v>
      </c>
      <c r="J44" s="40">
        <f>0</f>
        <v>0</v>
      </c>
      <c r="K44" s="40">
        <f>0</f>
        <v>0</v>
      </c>
      <c r="L44" s="40">
        <f>0</f>
        <v>0</v>
      </c>
    </row>
    <row r="45" spans="1:12" outlineLevel="4">
      <c r="A45" s="309" t="s">
        <v>28</v>
      </c>
      <c r="B45" s="32" t="s">
        <v>378</v>
      </c>
      <c r="C45" s="99" t="s">
        <v>379</v>
      </c>
      <c r="D45" s="296" t="s">
        <v>481</v>
      </c>
      <c r="E45" s="67">
        <f>0</f>
        <v>0</v>
      </c>
      <c r="F45" s="37">
        <f>0</f>
        <v>0</v>
      </c>
      <c r="G45" s="37">
        <f>0</f>
        <v>0</v>
      </c>
      <c r="H45" s="38">
        <f>0</f>
        <v>0</v>
      </c>
      <c r="I45" s="39">
        <f>0</f>
        <v>0</v>
      </c>
      <c r="J45" s="40">
        <f>0</f>
        <v>0</v>
      </c>
      <c r="K45" s="40">
        <f>0</f>
        <v>0</v>
      </c>
      <c r="L45" s="40">
        <f>0</f>
        <v>0</v>
      </c>
    </row>
    <row r="46" spans="1:12" outlineLevel="4">
      <c r="A46" s="309" t="s">
        <v>28</v>
      </c>
      <c r="B46" s="32" t="s">
        <v>380</v>
      </c>
      <c r="C46" s="99" t="s">
        <v>381</v>
      </c>
      <c r="D46" s="296" t="s">
        <v>480</v>
      </c>
      <c r="E46" s="67">
        <f>0</f>
        <v>0</v>
      </c>
      <c r="F46" s="37">
        <f>0</f>
        <v>0</v>
      </c>
      <c r="G46" s="37">
        <f>0</f>
        <v>0</v>
      </c>
      <c r="H46" s="38">
        <f>0</f>
        <v>0</v>
      </c>
      <c r="I46" s="39">
        <f>0</f>
        <v>0</v>
      </c>
      <c r="J46" s="40">
        <f>0</f>
        <v>0</v>
      </c>
      <c r="K46" s="40">
        <f>0</f>
        <v>0</v>
      </c>
      <c r="L46" s="40">
        <f>0</f>
        <v>0</v>
      </c>
    </row>
    <row r="47" spans="1:12" outlineLevel="2">
      <c r="B47" s="32" t="s">
        <v>145</v>
      </c>
      <c r="C47" s="99" t="s">
        <v>80</v>
      </c>
      <c r="D47" s="294" t="s">
        <v>80</v>
      </c>
      <c r="E47" s="67">
        <f>0</f>
        <v>0</v>
      </c>
      <c r="F47" s="37">
        <f>24682</f>
        <v>24682</v>
      </c>
      <c r="G47" s="37">
        <f>0</f>
        <v>0</v>
      </c>
      <c r="H47" s="38">
        <f>0</f>
        <v>0</v>
      </c>
      <c r="I47" s="39">
        <f>25000</f>
        <v>25000</v>
      </c>
      <c r="J47" s="40">
        <f>0</f>
        <v>0</v>
      </c>
      <c r="K47" s="40">
        <f>0</f>
        <v>0</v>
      </c>
      <c r="L47" s="40">
        <f>0</f>
        <v>0</v>
      </c>
    </row>
    <row r="48" spans="1:12" outlineLevel="1">
      <c r="A48" s="309" t="s">
        <v>28</v>
      </c>
      <c r="B48" s="31">
        <v>6</v>
      </c>
      <c r="C48" s="366" t="s">
        <v>25</v>
      </c>
      <c r="D48" s="293" t="s">
        <v>25</v>
      </c>
      <c r="E48" s="66">
        <f>2552998.4</f>
        <v>2552998.4</v>
      </c>
      <c r="F48" s="33">
        <f>1422477.65</f>
        <v>1422477.65</v>
      </c>
      <c r="G48" s="33">
        <f>773956.19</f>
        <v>773956.19</v>
      </c>
      <c r="H48" s="34">
        <f>773956.19</f>
        <v>773956.19</v>
      </c>
      <c r="I48" s="35">
        <f>0</f>
        <v>0</v>
      </c>
      <c r="J48" s="36">
        <f>0</f>
        <v>0</v>
      </c>
      <c r="K48" s="36">
        <f>0</f>
        <v>0</v>
      </c>
      <c r="L48" s="36">
        <f>0</f>
        <v>0</v>
      </c>
    </row>
    <row r="49" spans="1:12" ht="24" outlineLevel="1">
      <c r="B49" s="31">
        <v>7</v>
      </c>
      <c r="C49" s="366" t="s">
        <v>81</v>
      </c>
      <c r="D49" s="293" t="s">
        <v>81</v>
      </c>
      <c r="E49" s="66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</row>
    <row r="50" spans="1:12" outlineLevel="1">
      <c r="B50" s="31">
        <v>8</v>
      </c>
      <c r="C50" s="366" t="s">
        <v>146</v>
      </c>
      <c r="D50" s="293" t="s">
        <v>146</v>
      </c>
      <c r="E50" s="69" t="s">
        <v>28</v>
      </c>
      <c r="F50" s="47" t="s">
        <v>28</v>
      </c>
      <c r="G50" s="47" t="s">
        <v>28</v>
      </c>
      <c r="H50" s="48" t="s">
        <v>28</v>
      </c>
      <c r="I50" s="49" t="s">
        <v>28</v>
      </c>
      <c r="J50" s="50" t="s">
        <v>28</v>
      </c>
      <c r="K50" s="50" t="s">
        <v>28</v>
      </c>
      <c r="L50" s="50" t="s">
        <v>28</v>
      </c>
    </row>
    <row r="51" spans="1:12" outlineLevel="2">
      <c r="B51" s="32" t="s">
        <v>147</v>
      </c>
      <c r="C51" s="99" t="s">
        <v>82</v>
      </c>
      <c r="D51" s="294" t="s">
        <v>479</v>
      </c>
      <c r="E51" s="67">
        <f>975297.61</f>
        <v>975297.61</v>
      </c>
      <c r="F51" s="37">
        <f>3604694.11</f>
        <v>3604694.11</v>
      </c>
      <c r="G51" s="37">
        <f>2504739.72</f>
        <v>2504739.7200000002</v>
      </c>
      <c r="H51" s="38">
        <f>2583957.89</f>
        <v>2583957.89</v>
      </c>
      <c r="I51" s="39">
        <f>2364221.19</f>
        <v>2364221.19</v>
      </c>
      <c r="J51" s="40">
        <f>1685000</f>
        <v>1685000</v>
      </c>
      <c r="K51" s="40">
        <f>2682000</f>
        <v>2682000</v>
      </c>
      <c r="L51" s="40">
        <f>2570000</f>
        <v>2570000</v>
      </c>
    </row>
    <row r="52" spans="1:12" ht="24" outlineLevel="2">
      <c r="B52" s="32" t="s">
        <v>148</v>
      </c>
      <c r="C52" s="99" t="s">
        <v>384</v>
      </c>
      <c r="D52" s="294" t="s">
        <v>478</v>
      </c>
      <c r="E52" s="67">
        <f>1161314</f>
        <v>1161314</v>
      </c>
      <c r="F52" s="37">
        <f>4507213.48</f>
        <v>4507213.4800000004</v>
      </c>
      <c r="G52" s="37">
        <f>4241885.46</f>
        <v>4241885.46</v>
      </c>
      <c r="H52" s="38">
        <f>4966380.63</f>
        <v>4966380.63</v>
      </c>
      <c r="I52" s="39">
        <f>3133552.19</f>
        <v>3133552.19</v>
      </c>
      <c r="J52" s="40">
        <f>1685000</f>
        <v>1685000</v>
      </c>
      <c r="K52" s="40">
        <f>2682000</f>
        <v>2682000</v>
      </c>
      <c r="L52" s="40">
        <f>2570000</f>
        <v>2570000</v>
      </c>
    </row>
    <row r="53" spans="1:12" outlineLevel="1">
      <c r="A53" s="309" t="s">
        <v>28</v>
      </c>
      <c r="B53" s="31">
        <v>9</v>
      </c>
      <c r="C53" s="366" t="s">
        <v>149</v>
      </c>
      <c r="D53" s="293" t="s">
        <v>149</v>
      </c>
      <c r="E53" s="69" t="s">
        <v>28</v>
      </c>
      <c r="F53" s="47" t="s">
        <v>28</v>
      </c>
      <c r="G53" s="47" t="s">
        <v>28</v>
      </c>
      <c r="H53" s="48" t="s">
        <v>28</v>
      </c>
      <c r="I53" s="49" t="s">
        <v>28</v>
      </c>
      <c r="J53" s="50" t="s">
        <v>28</v>
      </c>
      <c r="K53" s="50" t="s">
        <v>28</v>
      </c>
      <c r="L53" s="50" t="s">
        <v>28</v>
      </c>
    </row>
    <row r="54" spans="1:12" ht="36" outlineLevel="2">
      <c r="A54" s="309" t="s">
        <v>28</v>
      </c>
      <c r="B54" s="32" t="s">
        <v>150</v>
      </c>
      <c r="C54" s="99" t="s">
        <v>438</v>
      </c>
      <c r="D54" s="294" t="s">
        <v>445</v>
      </c>
      <c r="E54" s="68">
        <f>0.0545</f>
        <v>5.45E-2</v>
      </c>
      <c r="F54" s="43">
        <f>0.0968</f>
        <v>9.6799999999999997E-2</v>
      </c>
      <c r="G54" s="43">
        <f>0.0618</f>
        <v>6.1800000000000001E-2</v>
      </c>
      <c r="H54" s="44">
        <f>0.0609</f>
        <v>6.0900000000000003E-2</v>
      </c>
      <c r="I54" s="45">
        <f>0.0564</f>
        <v>5.6399999999999999E-2</v>
      </c>
      <c r="J54" s="46">
        <f>0</f>
        <v>0</v>
      </c>
      <c r="K54" s="46">
        <f>0</f>
        <v>0</v>
      </c>
      <c r="L54" s="46">
        <f>0</f>
        <v>0</v>
      </c>
    </row>
    <row r="55" spans="1:12" ht="36" outlineLevel="2">
      <c r="A55" s="309" t="s">
        <v>28</v>
      </c>
      <c r="B55" s="32" t="s">
        <v>151</v>
      </c>
      <c r="C55" s="99" t="s">
        <v>439</v>
      </c>
      <c r="D55" s="294" t="s">
        <v>446</v>
      </c>
      <c r="E55" s="68">
        <f>0.0074</f>
        <v>7.4000000000000003E-3</v>
      </c>
      <c r="F55" s="43">
        <f>0.0545</f>
        <v>5.45E-2</v>
      </c>
      <c r="G55" s="43">
        <f>0.0618</f>
        <v>6.1800000000000001E-2</v>
      </c>
      <c r="H55" s="44">
        <f>0.0609</f>
        <v>6.0900000000000003E-2</v>
      </c>
      <c r="I55" s="45">
        <f>0.0564</f>
        <v>5.6399999999999999E-2</v>
      </c>
      <c r="J55" s="46">
        <f>0</f>
        <v>0</v>
      </c>
      <c r="K55" s="46">
        <f>0</f>
        <v>0</v>
      </c>
      <c r="L55" s="46">
        <f>0</f>
        <v>0</v>
      </c>
    </row>
    <row r="56" spans="1:12" ht="24" outlineLevel="2">
      <c r="A56" s="309" t="s">
        <v>28</v>
      </c>
      <c r="B56" s="32" t="s">
        <v>152</v>
      </c>
      <c r="C56" s="99" t="s">
        <v>389</v>
      </c>
      <c r="D56" s="294" t="s">
        <v>447</v>
      </c>
      <c r="E56" s="67">
        <f>0</f>
        <v>0</v>
      </c>
      <c r="F56" s="37">
        <f>0</f>
        <v>0</v>
      </c>
      <c r="G56" s="37">
        <f>0</f>
        <v>0</v>
      </c>
      <c r="H56" s="38">
        <f>0</f>
        <v>0</v>
      </c>
      <c r="I56" s="39">
        <f>0</f>
        <v>0</v>
      </c>
      <c r="J56" s="40">
        <f>0</f>
        <v>0</v>
      </c>
      <c r="K56" s="40">
        <f>0</f>
        <v>0</v>
      </c>
      <c r="L56" s="40">
        <f>0</f>
        <v>0</v>
      </c>
    </row>
    <row r="57" spans="1:12" ht="36" outlineLevel="2">
      <c r="A57" s="309" t="s">
        <v>28</v>
      </c>
      <c r="B57" s="32" t="s">
        <v>153</v>
      </c>
      <c r="C57" s="99" t="s">
        <v>440</v>
      </c>
      <c r="D57" s="294" t="s">
        <v>448</v>
      </c>
      <c r="E57" s="68">
        <f>0.0074</f>
        <v>7.4000000000000003E-3</v>
      </c>
      <c r="F57" s="43">
        <f>0.0545</f>
        <v>5.45E-2</v>
      </c>
      <c r="G57" s="43">
        <f>0.0618</f>
        <v>6.1800000000000001E-2</v>
      </c>
      <c r="H57" s="44">
        <f>0.0609</f>
        <v>6.0900000000000003E-2</v>
      </c>
      <c r="I57" s="45">
        <f>0.0564</f>
        <v>5.6399999999999999E-2</v>
      </c>
      <c r="J57" s="46">
        <f>0</f>
        <v>0</v>
      </c>
      <c r="K57" s="46">
        <f>0</f>
        <v>0</v>
      </c>
      <c r="L57" s="46">
        <f>0</f>
        <v>0</v>
      </c>
    </row>
    <row r="58" spans="1:12" ht="24" outlineLevel="2">
      <c r="A58" s="309" t="s">
        <v>28</v>
      </c>
      <c r="B58" s="98" t="s">
        <v>154</v>
      </c>
      <c r="C58" s="99" t="s">
        <v>393</v>
      </c>
      <c r="D58" s="374" t="s">
        <v>444</v>
      </c>
      <c r="E58" s="68">
        <f t="shared" ref="E58:L58" si="0">+IF(AND(E9&gt;=2013,E9&lt;=2018),IF(E10&lt;&gt;0,(E11+E19-E22+E25)/E10,0),IF(E10&lt;&gt;0,(E11+E19-E22)/E10,0))</f>
        <v>9.5076664561442384E-2</v>
      </c>
      <c r="F58" s="43">
        <f t="shared" si="0"/>
        <v>0.26125200296942935</v>
      </c>
      <c r="G58" s="43">
        <f t="shared" si="0"/>
        <v>0.21042659962442112</v>
      </c>
      <c r="H58" s="44">
        <f t="shared" si="0"/>
        <v>0.20381654855811104</v>
      </c>
      <c r="I58" s="45">
        <f t="shared" si="0"/>
        <v>0.18201232111869611</v>
      </c>
      <c r="J58" s="46">
        <f t="shared" si="0"/>
        <v>0.1556581986143187</v>
      </c>
      <c r="K58" s="46">
        <f t="shared" si="0"/>
        <v>0.22257261410788381</v>
      </c>
      <c r="L58" s="46">
        <f t="shared" si="0"/>
        <v>0.21117502054231718</v>
      </c>
    </row>
    <row r="59" spans="1:12" ht="36" outlineLevel="2">
      <c r="A59" s="309" t="s">
        <v>28</v>
      </c>
      <c r="B59" s="32" t="s">
        <v>155</v>
      </c>
      <c r="C59" s="99" t="s">
        <v>436</v>
      </c>
      <c r="D59" s="294" t="s">
        <v>449</v>
      </c>
      <c r="E59" s="69" t="s">
        <v>28</v>
      </c>
      <c r="F59" s="47" t="s">
        <v>28</v>
      </c>
      <c r="G59" s="47" t="s">
        <v>28</v>
      </c>
      <c r="H59" s="48" t="s">
        <v>28</v>
      </c>
      <c r="I59" s="45">
        <f>0.1889</f>
        <v>0.18890000000000001</v>
      </c>
      <c r="J59" s="46">
        <f>0.2179</f>
        <v>0.21790000000000001</v>
      </c>
      <c r="K59" s="46">
        <f>0.1827</f>
        <v>0.1827</v>
      </c>
      <c r="L59" s="46">
        <f>0.1868</f>
        <v>0.18679999999999999</v>
      </c>
    </row>
    <row r="60" spans="1:12" ht="36" outlineLevel="3">
      <c r="A60" s="309" t="s">
        <v>28</v>
      </c>
      <c r="B60" s="32" t="s">
        <v>83</v>
      </c>
      <c r="C60" s="99" t="s">
        <v>437</v>
      </c>
      <c r="D60" s="295" t="s">
        <v>450</v>
      </c>
      <c r="E60" s="69" t="s">
        <v>28</v>
      </c>
      <c r="F60" s="47" t="s">
        <v>28</v>
      </c>
      <c r="G60" s="47" t="s">
        <v>28</v>
      </c>
      <c r="H60" s="48" t="s">
        <v>28</v>
      </c>
      <c r="I60" s="45">
        <f>0.1867</f>
        <v>0.1867</v>
      </c>
      <c r="J60" s="46">
        <f>0.2157</f>
        <v>0.2157</v>
      </c>
      <c r="K60" s="46">
        <f>0.1805</f>
        <v>0.18049999999999999</v>
      </c>
      <c r="L60" s="46">
        <f>0.1868</f>
        <v>0.18679999999999999</v>
      </c>
    </row>
    <row r="61" spans="1:12" ht="36" outlineLevel="2">
      <c r="A61" s="309" t="s">
        <v>28</v>
      </c>
      <c r="B61" s="32" t="s">
        <v>156</v>
      </c>
      <c r="C61" s="99" t="s">
        <v>398</v>
      </c>
      <c r="D61" s="294" t="s">
        <v>477</v>
      </c>
      <c r="E61" s="69" t="s">
        <v>28</v>
      </c>
      <c r="F61" s="47" t="s">
        <v>28</v>
      </c>
      <c r="G61" s="47" t="s">
        <v>28</v>
      </c>
      <c r="H61" s="48" t="s">
        <v>28</v>
      </c>
      <c r="I61" s="242" t="str">
        <f>IF(I57&lt;=I59,"Spełniona","Nie spełniona")</f>
        <v>Spełniona</v>
      </c>
      <c r="J61" s="243" t="str">
        <f>IF(J57&lt;=J59,"Spełniona","Nie spełniona")</f>
        <v>Spełniona</v>
      </c>
      <c r="K61" s="243" t="str">
        <f>IF(K57&lt;=K59,"Spełniona","Nie spełniona")</f>
        <v>Spełniona</v>
      </c>
      <c r="L61" s="243" t="str">
        <f>IF(L57&lt;=L59,"Spełniona","Nie spełniona")</f>
        <v>Spełniona</v>
      </c>
    </row>
    <row r="62" spans="1:12" ht="36" outlineLevel="3">
      <c r="A62" s="309" t="s">
        <v>28</v>
      </c>
      <c r="B62" s="32" t="s">
        <v>84</v>
      </c>
      <c r="C62" s="99" t="s">
        <v>400</v>
      </c>
      <c r="D62" s="295" t="s">
        <v>451</v>
      </c>
      <c r="E62" s="69" t="s">
        <v>28</v>
      </c>
      <c r="F62" s="47" t="s">
        <v>28</v>
      </c>
      <c r="G62" s="47" t="s">
        <v>28</v>
      </c>
      <c r="H62" s="48" t="s">
        <v>28</v>
      </c>
      <c r="I62" s="242" t="str">
        <f>IF(I57&lt;=I60,"Spełniona","Nie spełniona")</f>
        <v>Spełniona</v>
      </c>
      <c r="J62" s="243" t="str">
        <f>IF(J57&lt;=J60,"Spełniona","Nie spełniona")</f>
        <v>Spełniona</v>
      </c>
      <c r="K62" s="243" t="str">
        <f>IF(K57&lt;=K60,"Spełniona","Nie spełniona")</f>
        <v>Spełniona</v>
      </c>
      <c r="L62" s="243" t="str">
        <f>IF(L57&lt;=L60,"Spełniona","Nie spełniona")</f>
        <v>Spełniona</v>
      </c>
    </row>
    <row r="63" spans="1:12" outlineLevel="1">
      <c r="B63" s="31">
        <v>10</v>
      </c>
      <c r="C63" s="366" t="s">
        <v>85</v>
      </c>
      <c r="D63" s="293" t="s">
        <v>85</v>
      </c>
      <c r="E63" s="66">
        <f>0</f>
        <v>0</v>
      </c>
      <c r="F63" s="33">
        <f>0</f>
        <v>0</v>
      </c>
      <c r="G63" s="33">
        <f>0</f>
        <v>0</v>
      </c>
      <c r="H63" s="34">
        <f>0</f>
        <v>0</v>
      </c>
      <c r="I63" s="35">
        <f>29625.19</f>
        <v>29625.19</v>
      </c>
      <c r="J63" s="36">
        <f>0</f>
        <v>0</v>
      </c>
      <c r="K63" s="36">
        <f>0</f>
        <v>0</v>
      </c>
      <c r="L63" s="36">
        <f>0</f>
        <v>0</v>
      </c>
    </row>
    <row r="64" spans="1:12" outlineLevel="2">
      <c r="B64" s="32" t="s">
        <v>157</v>
      </c>
      <c r="C64" s="99" t="s">
        <v>86</v>
      </c>
      <c r="D64" s="294" t="s">
        <v>191</v>
      </c>
      <c r="E64" s="67">
        <f>0</f>
        <v>0</v>
      </c>
      <c r="F64" s="37">
        <f>0</f>
        <v>0</v>
      </c>
      <c r="G64" s="37">
        <f>0</f>
        <v>0</v>
      </c>
      <c r="H64" s="38">
        <f>0</f>
        <v>0</v>
      </c>
      <c r="I64" s="39">
        <v>29625.19</v>
      </c>
      <c r="J64" s="40">
        <f>0</f>
        <v>0</v>
      </c>
      <c r="K64" s="40">
        <f>0</f>
        <v>0</v>
      </c>
      <c r="L64" s="40">
        <f>0</f>
        <v>0</v>
      </c>
    </row>
    <row r="65" spans="2:12" outlineLevel="1">
      <c r="B65" s="31">
        <v>11</v>
      </c>
      <c r="C65" s="366" t="s">
        <v>87</v>
      </c>
      <c r="D65" s="293" t="s">
        <v>87</v>
      </c>
      <c r="E65" s="69" t="s">
        <v>28</v>
      </c>
      <c r="F65" s="47" t="s">
        <v>28</v>
      </c>
      <c r="G65" s="47" t="s">
        <v>28</v>
      </c>
      <c r="H65" s="48" t="s">
        <v>28</v>
      </c>
      <c r="I65" s="49" t="s">
        <v>28</v>
      </c>
      <c r="J65" s="50" t="s">
        <v>28</v>
      </c>
      <c r="K65" s="50" t="s">
        <v>28</v>
      </c>
      <c r="L65" s="50" t="s">
        <v>28</v>
      </c>
    </row>
    <row r="66" spans="2:12" outlineLevel="2">
      <c r="B66" s="32" t="s">
        <v>158</v>
      </c>
      <c r="C66" s="99" t="s">
        <v>88</v>
      </c>
      <c r="D66" s="294" t="s">
        <v>192</v>
      </c>
      <c r="E66" s="67">
        <f>4441226.62</f>
        <v>4441226.62</v>
      </c>
      <c r="F66" s="37">
        <f>4171528.09</f>
        <v>4171528.09</v>
      </c>
      <c r="G66" s="37">
        <f>4406547.84</f>
        <v>4406547.84</v>
      </c>
      <c r="H66" s="38">
        <f>4149289.86</f>
        <v>4149289.86</v>
      </c>
      <c r="I66" s="39">
        <f>4226255</f>
        <v>4226255</v>
      </c>
      <c r="J66" s="40">
        <f>4271290</f>
        <v>4271290</v>
      </c>
      <c r="K66" s="40">
        <f>4378000</f>
        <v>4378000</v>
      </c>
      <c r="L66" s="40">
        <f>4487450</f>
        <v>4487450</v>
      </c>
    </row>
    <row r="67" spans="2:12" outlineLevel="2">
      <c r="B67" s="32" t="s">
        <v>159</v>
      </c>
      <c r="C67" s="99" t="s">
        <v>89</v>
      </c>
      <c r="D67" s="294" t="s">
        <v>193</v>
      </c>
      <c r="E67" s="67">
        <f>1397090.95</f>
        <v>1397090.95</v>
      </c>
      <c r="F67" s="37">
        <f>1438877.18</f>
        <v>1438877.18</v>
      </c>
      <c r="G67" s="37">
        <f>1491519</f>
        <v>1491519</v>
      </c>
      <c r="H67" s="38">
        <f>1343112.1</f>
        <v>1343112.1</v>
      </c>
      <c r="I67" s="39">
        <f>1555803</f>
        <v>1555803</v>
      </c>
      <c r="J67" s="40">
        <f>1509400</f>
        <v>1509400</v>
      </c>
      <c r="K67" s="40">
        <f>1547135</f>
        <v>1547135</v>
      </c>
      <c r="L67" s="40">
        <f>1585800</f>
        <v>1585800</v>
      </c>
    </row>
    <row r="68" spans="2:12" outlineLevel="2">
      <c r="B68" s="32" t="s">
        <v>160</v>
      </c>
      <c r="C68" s="99" t="s">
        <v>402</v>
      </c>
      <c r="D68" s="294" t="s">
        <v>476</v>
      </c>
      <c r="E68" s="67">
        <f>1480853.69</f>
        <v>1480853.69</v>
      </c>
      <c r="F68" s="37">
        <f>718974.51</f>
        <v>718974.51</v>
      </c>
      <c r="G68" s="37">
        <f>3546636.65</f>
        <v>3546636.65</v>
      </c>
      <c r="H68" s="38">
        <f>3319528.6</f>
        <v>3319528.6</v>
      </c>
      <c r="I68" s="39">
        <f>291732.67</f>
        <v>291732.67</v>
      </c>
      <c r="J68" s="40">
        <f>784700</f>
        <v>784700</v>
      </c>
      <c r="K68" s="40">
        <f>0</f>
        <v>0</v>
      </c>
      <c r="L68" s="40">
        <f>0</f>
        <v>0</v>
      </c>
    </row>
    <row r="69" spans="2:12" outlineLevel="3">
      <c r="B69" s="32" t="s">
        <v>90</v>
      </c>
      <c r="C69" s="99" t="s">
        <v>434</v>
      </c>
      <c r="D69" s="295" t="s">
        <v>194</v>
      </c>
      <c r="E69" s="67">
        <f>123162.52</f>
        <v>123162.52</v>
      </c>
      <c r="F69" s="37">
        <f>156869.11</f>
        <v>156869.10999999999</v>
      </c>
      <c r="G69" s="37">
        <f>145119.65</f>
        <v>145119.65</v>
      </c>
      <c r="H69" s="38">
        <f>138833.24</f>
        <v>138833.24</v>
      </c>
      <c r="I69" s="39">
        <f>261432.67</f>
        <v>261432.67</v>
      </c>
      <c r="J69" s="40">
        <f>0</f>
        <v>0</v>
      </c>
      <c r="K69" s="40">
        <f>0</f>
        <v>0</v>
      </c>
      <c r="L69" s="40">
        <f>0</f>
        <v>0</v>
      </c>
    </row>
    <row r="70" spans="2:12" outlineLevel="3">
      <c r="B70" s="32" t="s">
        <v>92</v>
      </c>
      <c r="C70" s="99" t="s">
        <v>435</v>
      </c>
      <c r="D70" s="295" t="s">
        <v>195</v>
      </c>
      <c r="E70" s="67">
        <f>1357691.17</f>
        <v>1357691.17</v>
      </c>
      <c r="F70" s="37">
        <f>562105.4</f>
        <v>562105.4</v>
      </c>
      <c r="G70" s="37">
        <f>3401517</f>
        <v>3401517</v>
      </c>
      <c r="H70" s="38">
        <f>3180695.36</f>
        <v>3180695.36</v>
      </c>
      <c r="I70" s="39">
        <f>30300</f>
        <v>30300</v>
      </c>
      <c r="J70" s="40">
        <f>784700</f>
        <v>784700</v>
      </c>
      <c r="K70" s="40">
        <f>0</f>
        <v>0</v>
      </c>
      <c r="L70" s="40">
        <f>0</f>
        <v>0</v>
      </c>
    </row>
    <row r="71" spans="2:12" outlineLevel="2">
      <c r="B71" s="32" t="s">
        <v>161</v>
      </c>
      <c r="C71" s="99" t="s">
        <v>94</v>
      </c>
      <c r="D71" s="294" t="s">
        <v>196</v>
      </c>
      <c r="E71" s="67">
        <f>1173514.32</f>
        <v>1173514.32</v>
      </c>
      <c r="F71" s="37">
        <f>835040.96</f>
        <v>835040.96</v>
      </c>
      <c r="G71" s="37">
        <f>3401517</f>
        <v>3401517</v>
      </c>
      <c r="H71" s="38">
        <f>3180695.36</f>
        <v>3180695.36</v>
      </c>
      <c r="I71" s="39">
        <f>0</f>
        <v>0</v>
      </c>
      <c r="J71" s="40">
        <f>784700</f>
        <v>784700</v>
      </c>
      <c r="K71" s="40">
        <f>0</f>
        <v>0</v>
      </c>
      <c r="L71" s="40">
        <f>0</f>
        <v>0</v>
      </c>
    </row>
    <row r="72" spans="2:12" outlineLevel="2">
      <c r="B72" s="32" t="s">
        <v>162</v>
      </c>
      <c r="C72" s="99" t="s">
        <v>95</v>
      </c>
      <c r="D72" s="294" t="s">
        <v>197</v>
      </c>
      <c r="E72" s="67">
        <f>2450536</f>
        <v>2450536</v>
      </c>
      <c r="F72" s="37">
        <f>1590835.04</f>
        <v>1590835.04</v>
      </c>
      <c r="G72" s="37">
        <f>1184859</f>
        <v>1184859</v>
      </c>
      <c r="H72" s="38">
        <f>1184793.34</f>
        <v>1184793.3400000001</v>
      </c>
      <c r="I72" s="39">
        <f>4559500</f>
        <v>4559500</v>
      </c>
      <c r="J72" s="40">
        <f>900300</f>
        <v>900300</v>
      </c>
      <c r="K72" s="40">
        <f>2682000</f>
        <v>2682000</v>
      </c>
      <c r="L72" s="40">
        <f>2570000</f>
        <v>2570000</v>
      </c>
    </row>
    <row r="73" spans="2:12" outlineLevel="2">
      <c r="B73" s="32" t="s">
        <v>163</v>
      </c>
      <c r="C73" s="99" t="s">
        <v>96</v>
      </c>
      <c r="D73" s="294" t="s">
        <v>198</v>
      </c>
      <c r="E73" s="67">
        <f>0</f>
        <v>0</v>
      </c>
      <c r="F73" s="37">
        <f>0</f>
        <v>0</v>
      </c>
      <c r="G73" s="37">
        <f>39000</f>
        <v>39000</v>
      </c>
      <c r="H73" s="38">
        <f>27700</f>
        <v>27700</v>
      </c>
      <c r="I73" s="39">
        <v>155000</v>
      </c>
      <c r="J73" s="40">
        <f>0</f>
        <v>0</v>
      </c>
      <c r="K73" s="40">
        <f>0</f>
        <v>0</v>
      </c>
      <c r="L73" s="40">
        <f>0</f>
        <v>0</v>
      </c>
    </row>
    <row r="74" spans="2:12" ht="24" outlineLevel="1">
      <c r="B74" s="31">
        <v>12</v>
      </c>
      <c r="C74" s="366" t="s">
        <v>97</v>
      </c>
      <c r="D74" s="293" t="s">
        <v>97</v>
      </c>
      <c r="E74" s="69" t="s">
        <v>28</v>
      </c>
      <c r="F74" s="47" t="s">
        <v>28</v>
      </c>
      <c r="G74" s="47" t="s">
        <v>28</v>
      </c>
      <c r="H74" s="48" t="s">
        <v>28</v>
      </c>
      <c r="I74" s="49" t="s">
        <v>28</v>
      </c>
      <c r="J74" s="50" t="s">
        <v>28</v>
      </c>
      <c r="K74" s="50" t="s">
        <v>28</v>
      </c>
      <c r="L74" s="50" t="s">
        <v>28</v>
      </c>
    </row>
    <row r="75" spans="2:12" ht="24" outlineLevel="2">
      <c r="B75" s="32" t="s">
        <v>164</v>
      </c>
      <c r="C75" s="99" t="s">
        <v>98</v>
      </c>
      <c r="D75" s="294" t="s">
        <v>475</v>
      </c>
      <c r="E75" s="67">
        <f>104205.75</f>
        <v>104205.75</v>
      </c>
      <c r="F75" s="37">
        <f>179911.06</f>
        <v>179911.06</v>
      </c>
      <c r="G75" s="37">
        <f>109888.97</f>
        <v>109888.97</v>
      </c>
      <c r="H75" s="38">
        <f>105623.85</f>
        <v>105623.85</v>
      </c>
      <c r="I75" s="39">
        <f>261432.67</f>
        <v>261432.67</v>
      </c>
      <c r="J75" s="40">
        <f>0</f>
        <v>0</v>
      </c>
      <c r="K75" s="40">
        <f>0</f>
        <v>0</v>
      </c>
      <c r="L75" s="40">
        <f>0</f>
        <v>0</v>
      </c>
    </row>
    <row r="76" spans="2:12" outlineLevel="3">
      <c r="B76" s="32" t="s">
        <v>99</v>
      </c>
      <c r="C76" s="99" t="s">
        <v>100</v>
      </c>
      <c r="D76" s="376" t="s">
        <v>454</v>
      </c>
      <c r="E76" s="67">
        <f>104205.75</f>
        <v>104205.75</v>
      </c>
      <c r="F76" s="37">
        <f>160689</f>
        <v>160689</v>
      </c>
      <c r="G76" s="37">
        <f>96205.25</f>
        <v>96205.25</v>
      </c>
      <c r="H76" s="38">
        <f>93191.67</f>
        <v>93191.67</v>
      </c>
      <c r="I76" s="39">
        <f>222217.77</f>
        <v>222217.77</v>
      </c>
      <c r="J76" s="40">
        <f>0</f>
        <v>0</v>
      </c>
      <c r="K76" s="40">
        <f>0</f>
        <v>0</v>
      </c>
      <c r="L76" s="40">
        <f>0</f>
        <v>0</v>
      </c>
    </row>
    <row r="77" spans="2:12" ht="24" outlineLevel="4">
      <c r="B77" s="32" t="s">
        <v>101</v>
      </c>
      <c r="C77" s="99" t="s">
        <v>102</v>
      </c>
      <c r="D77" s="375" t="s">
        <v>453</v>
      </c>
      <c r="E77" s="67">
        <f>0</f>
        <v>0</v>
      </c>
      <c r="F77" s="37">
        <f>0</f>
        <v>0</v>
      </c>
      <c r="G77" s="37">
        <f>96205.25</f>
        <v>96205.25</v>
      </c>
      <c r="H77" s="38">
        <f>93191.67</f>
        <v>93191.67</v>
      </c>
      <c r="I77" s="39">
        <f>222217.77</f>
        <v>222217.77</v>
      </c>
      <c r="J77" s="40">
        <f>0</f>
        <v>0</v>
      </c>
      <c r="K77" s="40">
        <f>0</f>
        <v>0</v>
      </c>
      <c r="L77" s="40">
        <f>0</f>
        <v>0</v>
      </c>
    </row>
    <row r="78" spans="2:12" ht="24" outlineLevel="2">
      <c r="B78" s="32" t="s">
        <v>165</v>
      </c>
      <c r="C78" s="99" t="s">
        <v>103</v>
      </c>
      <c r="D78" s="294" t="s">
        <v>474</v>
      </c>
      <c r="E78" s="67">
        <f>1041937.3</f>
        <v>1041937.3</v>
      </c>
      <c r="F78" s="37">
        <f>1013324.7</f>
        <v>1013324.7</v>
      </c>
      <c r="G78" s="37">
        <f>421154</f>
        <v>421154</v>
      </c>
      <c r="H78" s="38">
        <f>478204.67</f>
        <v>478204.67</v>
      </c>
      <c r="I78" s="39">
        <f>2179404</f>
        <v>2179404</v>
      </c>
      <c r="J78" s="40">
        <f>0</f>
        <v>0</v>
      </c>
      <c r="K78" s="40">
        <f>0</f>
        <v>0</v>
      </c>
      <c r="L78" s="40">
        <f>0</f>
        <v>0</v>
      </c>
    </row>
    <row r="79" spans="2:12" outlineLevel="3">
      <c r="B79" s="32" t="s">
        <v>104</v>
      </c>
      <c r="C79" s="99" t="s">
        <v>105</v>
      </c>
      <c r="D79" s="376" t="s">
        <v>454</v>
      </c>
      <c r="E79" s="67">
        <f>1041937.3</f>
        <v>1041937.3</v>
      </c>
      <c r="F79" s="37">
        <f>826032</f>
        <v>826032</v>
      </c>
      <c r="G79" s="37">
        <f>232602</f>
        <v>232602</v>
      </c>
      <c r="H79" s="38">
        <f>232601.81</f>
        <v>232601.81</v>
      </c>
      <c r="I79" s="39">
        <f>2114404</f>
        <v>2114404</v>
      </c>
      <c r="J79" s="40">
        <f>0</f>
        <v>0</v>
      </c>
      <c r="K79" s="40">
        <f>0</f>
        <v>0</v>
      </c>
      <c r="L79" s="40">
        <f>0</f>
        <v>0</v>
      </c>
    </row>
    <row r="80" spans="2:12" ht="24" outlineLevel="4">
      <c r="B80" s="32" t="s">
        <v>106</v>
      </c>
      <c r="C80" s="99" t="s">
        <v>107</v>
      </c>
      <c r="D80" s="375" t="s">
        <v>452</v>
      </c>
      <c r="E80" s="67">
        <f>0</f>
        <v>0</v>
      </c>
      <c r="F80" s="37">
        <f>0</f>
        <v>0</v>
      </c>
      <c r="G80" s="37">
        <f>232602</f>
        <v>232602</v>
      </c>
      <c r="H80" s="38">
        <f>232601.81</f>
        <v>232601.81</v>
      </c>
      <c r="I80" s="39">
        <f>2114404</f>
        <v>2114404</v>
      </c>
      <c r="J80" s="40">
        <f>0</f>
        <v>0</v>
      </c>
      <c r="K80" s="40">
        <f>0</f>
        <v>0</v>
      </c>
      <c r="L80" s="40">
        <f>0</f>
        <v>0</v>
      </c>
    </row>
    <row r="81" spans="2:12" ht="24" outlineLevel="2">
      <c r="B81" s="32" t="s">
        <v>166</v>
      </c>
      <c r="C81" s="99" t="s">
        <v>108</v>
      </c>
      <c r="D81" s="294" t="s">
        <v>199</v>
      </c>
      <c r="E81" s="67">
        <f>123162.52</f>
        <v>123162.52</v>
      </c>
      <c r="F81" s="37">
        <f>156869.11</f>
        <v>156869.10999999999</v>
      </c>
      <c r="G81" s="37">
        <f>145119.65</f>
        <v>145119.65</v>
      </c>
      <c r="H81" s="38">
        <f>138833.24</f>
        <v>138833.24</v>
      </c>
      <c r="I81" s="39">
        <f>261432.67</f>
        <v>261432.67</v>
      </c>
      <c r="J81" s="40">
        <f>0</f>
        <v>0</v>
      </c>
      <c r="K81" s="40">
        <f>0</f>
        <v>0</v>
      </c>
      <c r="L81" s="40">
        <f>0</f>
        <v>0</v>
      </c>
    </row>
    <row r="82" spans="2:12" outlineLevel="3">
      <c r="B82" s="32" t="s">
        <v>109</v>
      </c>
      <c r="C82" s="99" t="s">
        <v>110</v>
      </c>
      <c r="D82" s="376" t="s">
        <v>473</v>
      </c>
      <c r="E82" s="67">
        <f>104205.63</f>
        <v>104205.63</v>
      </c>
      <c r="F82" s="37">
        <f>133542.58</f>
        <v>133542.57999999999</v>
      </c>
      <c r="G82" s="37">
        <f>123351.7</f>
        <v>123351.7</v>
      </c>
      <c r="H82" s="38">
        <f>120259.63</f>
        <v>120259.63</v>
      </c>
      <c r="I82" s="39">
        <f>222217.77</f>
        <v>222217.77</v>
      </c>
      <c r="J82" s="40">
        <f>0</f>
        <v>0</v>
      </c>
      <c r="K82" s="40">
        <f>0</f>
        <v>0</v>
      </c>
      <c r="L82" s="40">
        <f>0</f>
        <v>0</v>
      </c>
    </row>
    <row r="83" spans="2:12" ht="24" outlineLevel="3">
      <c r="B83" s="32" t="s">
        <v>111</v>
      </c>
      <c r="C83" s="99" t="s">
        <v>112</v>
      </c>
      <c r="D83" s="295" t="s">
        <v>200</v>
      </c>
      <c r="E83" s="67">
        <f>0</f>
        <v>0</v>
      </c>
      <c r="F83" s="37">
        <f>0</f>
        <v>0</v>
      </c>
      <c r="G83" s="37">
        <f>145119.65</f>
        <v>145119.65</v>
      </c>
      <c r="H83" s="38">
        <f>138833.24</f>
        <v>138833.24</v>
      </c>
      <c r="I83" s="39">
        <f>261432.67</f>
        <v>261432.67</v>
      </c>
      <c r="J83" s="40">
        <f>0</f>
        <v>0</v>
      </c>
      <c r="K83" s="40">
        <f>0</f>
        <v>0</v>
      </c>
      <c r="L83" s="40">
        <f>0</f>
        <v>0</v>
      </c>
    </row>
    <row r="84" spans="2:12" ht="24" outlineLevel="2">
      <c r="B84" s="32" t="s">
        <v>167</v>
      </c>
      <c r="C84" s="99" t="s">
        <v>113</v>
      </c>
      <c r="D84" s="294" t="s">
        <v>201</v>
      </c>
      <c r="E84" s="67">
        <f>650923.96</f>
        <v>650923.96</v>
      </c>
      <c r="F84" s="37">
        <f>562105.4</f>
        <v>562105.4</v>
      </c>
      <c r="G84" s="37">
        <f>3401517</f>
        <v>3401517</v>
      </c>
      <c r="H84" s="38">
        <f>3180695.36</f>
        <v>3180695.36</v>
      </c>
      <c r="I84" s="39">
        <f>0</f>
        <v>0</v>
      </c>
      <c r="J84" s="40">
        <f>0</f>
        <v>0</v>
      </c>
      <c r="K84" s="40">
        <f>0</f>
        <v>0</v>
      </c>
      <c r="L84" s="40">
        <f>0</f>
        <v>0</v>
      </c>
    </row>
    <row r="85" spans="2:12" outlineLevel="3">
      <c r="B85" s="32" t="s">
        <v>114</v>
      </c>
      <c r="C85" s="99" t="s">
        <v>115</v>
      </c>
      <c r="D85" s="376" t="s">
        <v>472</v>
      </c>
      <c r="E85" s="67">
        <f>650923.96</f>
        <v>650923.96</v>
      </c>
      <c r="F85" s="37">
        <f>220814.52</f>
        <v>220814.52</v>
      </c>
      <c r="G85" s="37">
        <f>3401517</f>
        <v>3401517</v>
      </c>
      <c r="H85" s="38">
        <f>3180695.36</f>
        <v>3180695.36</v>
      </c>
      <c r="I85" s="39">
        <f>0</f>
        <v>0</v>
      </c>
      <c r="J85" s="40">
        <f>0</f>
        <v>0</v>
      </c>
      <c r="K85" s="40">
        <f>0</f>
        <v>0</v>
      </c>
      <c r="L85" s="40">
        <f>0</f>
        <v>0</v>
      </c>
    </row>
    <row r="86" spans="2:12" ht="24" outlineLevel="3">
      <c r="B86" s="32" t="s">
        <v>116</v>
      </c>
      <c r="C86" s="99" t="s">
        <v>117</v>
      </c>
      <c r="D86" s="295" t="s">
        <v>202</v>
      </c>
      <c r="E86" s="67">
        <f>0</f>
        <v>0</v>
      </c>
      <c r="F86" s="37">
        <f>0</f>
        <v>0</v>
      </c>
      <c r="G86" s="37">
        <f>1590835.04</f>
        <v>1590835.04</v>
      </c>
      <c r="H86" s="38">
        <f>2074095.36</f>
        <v>2074095.36</v>
      </c>
      <c r="I86" s="39">
        <f>0</f>
        <v>0</v>
      </c>
      <c r="J86" s="40">
        <f>0</f>
        <v>0</v>
      </c>
      <c r="K86" s="40">
        <f>0</f>
        <v>0</v>
      </c>
      <c r="L86" s="40">
        <f>0</f>
        <v>0</v>
      </c>
    </row>
    <row r="87" spans="2:12" ht="36" outlineLevel="2">
      <c r="B87" s="32" t="s">
        <v>403</v>
      </c>
      <c r="C87" s="99" t="s">
        <v>404</v>
      </c>
      <c r="D87" s="294" t="s">
        <v>471</v>
      </c>
      <c r="E87" s="67">
        <f>0</f>
        <v>0</v>
      </c>
      <c r="F87" s="37">
        <f>0</f>
        <v>0</v>
      </c>
      <c r="G87" s="37">
        <f>0</f>
        <v>0</v>
      </c>
      <c r="H87" s="38">
        <f>0</f>
        <v>0</v>
      </c>
      <c r="I87" s="39">
        <f>0</f>
        <v>0</v>
      </c>
      <c r="J87" s="40">
        <f>0</f>
        <v>0</v>
      </c>
      <c r="K87" s="40">
        <f>0</f>
        <v>0</v>
      </c>
      <c r="L87" s="40">
        <f>0</f>
        <v>0</v>
      </c>
    </row>
    <row r="88" spans="2:12" outlineLevel="3">
      <c r="B88" s="32" t="s">
        <v>405</v>
      </c>
      <c r="C88" s="99" t="s">
        <v>406</v>
      </c>
      <c r="D88" s="295" t="s">
        <v>456</v>
      </c>
      <c r="E88" s="67">
        <f>0</f>
        <v>0</v>
      </c>
      <c r="F88" s="37">
        <f>0</f>
        <v>0</v>
      </c>
      <c r="G88" s="37">
        <f>0</f>
        <v>0</v>
      </c>
      <c r="H88" s="38">
        <f>0</f>
        <v>0</v>
      </c>
      <c r="I88" s="39">
        <f>0</f>
        <v>0</v>
      </c>
      <c r="J88" s="40">
        <f>0</f>
        <v>0</v>
      </c>
      <c r="K88" s="40">
        <f>0</f>
        <v>0</v>
      </c>
      <c r="L88" s="40">
        <f>0</f>
        <v>0</v>
      </c>
    </row>
    <row r="89" spans="2:12" ht="36" outlineLevel="2">
      <c r="B89" s="32" t="s">
        <v>407</v>
      </c>
      <c r="C89" s="99" t="s">
        <v>408</v>
      </c>
      <c r="D89" s="294" t="s">
        <v>455</v>
      </c>
      <c r="E89" s="67">
        <f>0</f>
        <v>0</v>
      </c>
      <c r="F89" s="37">
        <f>0</f>
        <v>0</v>
      </c>
      <c r="G89" s="37">
        <f>0</f>
        <v>0</v>
      </c>
      <c r="H89" s="38">
        <f>0</f>
        <v>0</v>
      </c>
      <c r="I89" s="39">
        <f>0</f>
        <v>0</v>
      </c>
      <c r="J89" s="40">
        <f>0</f>
        <v>0</v>
      </c>
      <c r="K89" s="40">
        <f>0</f>
        <v>0</v>
      </c>
      <c r="L89" s="40">
        <f>0</f>
        <v>0</v>
      </c>
    </row>
    <row r="90" spans="2:12" outlineLevel="3">
      <c r="B90" s="32" t="s">
        <v>409</v>
      </c>
      <c r="C90" s="99" t="s">
        <v>406</v>
      </c>
      <c r="D90" s="295" t="s">
        <v>456</v>
      </c>
      <c r="E90" s="67">
        <f>0</f>
        <v>0</v>
      </c>
      <c r="F90" s="37">
        <f>0</f>
        <v>0</v>
      </c>
      <c r="G90" s="37">
        <f>0</f>
        <v>0</v>
      </c>
      <c r="H90" s="38">
        <f>0</f>
        <v>0</v>
      </c>
      <c r="I90" s="39">
        <f>0</f>
        <v>0</v>
      </c>
      <c r="J90" s="40">
        <f>0</f>
        <v>0</v>
      </c>
      <c r="K90" s="40">
        <f>0</f>
        <v>0</v>
      </c>
      <c r="L90" s="40">
        <f>0</f>
        <v>0</v>
      </c>
    </row>
    <row r="91" spans="2:12" ht="36" outlineLevel="2">
      <c r="B91" s="32" t="s">
        <v>410</v>
      </c>
      <c r="C91" s="99" t="s">
        <v>411</v>
      </c>
      <c r="D91" s="294" t="s">
        <v>470</v>
      </c>
      <c r="E91" s="67">
        <f>0</f>
        <v>0</v>
      </c>
      <c r="F91" s="37">
        <f>0</f>
        <v>0</v>
      </c>
      <c r="G91" s="37">
        <f>0</f>
        <v>0</v>
      </c>
      <c r="H91" s="38">
        <f>0</f>
        <v>0</v>
      </c>
      <c r="I91" s="39">
        <f>0</f>
        <v>0</v>
      </c>
      <c r="J91" s="40">
        <f>0</f>
        <v>0</v>
      </c>
      <c r="K91" s="40">
        <f>0</f>
        <v>0</v>
      </c>
      <c r="L91" s="40">
        <f>0</f>
        <v>0</v>
      </c>
    </row>
    <row r="92" spans="2:12" outlineLevel="3">
      <c r="B92" s="32" t="s">
        <v>412</v>
      </c>
      <c r="C92" s="99" t="s">
        <v>406</v>
      </c>
      <c r="D92" s="295" t="s">
        <v>456</v>
      </c>
      <c r="E92" s="67">
        <f>0</f>
        <v>0</v>
      </c>
      <c r="F92" s="37">
        <f>0</f>
        <v>0</v>
      </c>
      <c r="G92" s="37">
        <f>0</f>
        <v>0</v>
      </c>
      <c r="H92" s="38">
        <f>0</f>
        <v>0</v>
      </c>
      <c r="I92" s="39">
        <f>0</f>
        <v>0</v>
      </c>
      <c r="J92" s="40">
        <f>0</f>
        <v>0</v>
      </c>
      <c r="K92" s="40">
        <f>0</f>
        <v>0</v>
      </c>
      <c r="L92" s="40">
        <f>0</f>
        <v>0</v>
      </c>
    </row>
    <row r="93" spans="2:12" ht="36" outlineLevel="2">
      <c r="B93" s="32" t="s">
        <v>413</v>
      </c>
      <c r="C93" s="99" t="s">
        <v>414</v>
      </c>
      <c r="D93" s="294" t="s">
        <v>469</v>
      </c>
      <c r="E93" s="67">
        <f>0</f>
        <v>0</v>
      </c>
      <c r="F93" s="37">
        <f>0</f>
        <v>0</v>
      </c>
      <c r="G93" s="37">
        <f>0</f>
        <v>0</v>
      </c>
      <c r="H93" s="38">
        <f>0</f>
        <v>0</v>
      </c>
      <c r="I93" s="39">
        <f>0</f>
        <v>0</v>
      </c>
      <c r="J93" s="40">
        <f>0</f>
        <v>0</v>
      </c>
      <c r="K93" s="40">
        <f>0</f>
        <v>0</v>
      </c>
      <c r="L93" s="40">
        <f>0</f>
        <v>0</v>
      </c>
    </row>
    <row r="94" spans="2:12" outlineLevel="3">
      <c r="B94" s="32" t="s">
        <v>415</v>
      </c>
      <c r="C94" s="99" t="s">
        <v>406</v>
      </c>
      <c r="D94" s="295" t="s">
        <v>456</v>
      </c>
      <c r="E94" s="67">
        <f>0</f>
        <v>0</v>
      </c>
      <c r="F94" s="37">
        <f>0</f>
        <v>0</v>
      </c>
      <c r="G94" s="37">
        <f>0</f>
        <v>0</v>
      </c>
      <c r="H94" s="38">
        <f>0</f>
        <v>0</v>
      </c>
      <c r="I94" s="39">
        <f>0</f>
        <v>0</v>
      </c>
      <c r="J94" s="40">
        <f>0</f>
        <v>0</v>
      </c>
      <c r="K94" s="40">
        <f>0</f>
        <v>0</v>
      </c>
      <c r="L94" s="40">
        <f>0</f>
        <v>0</v>
      </c>
    </row>
    <row r="95" spans="2:12" ht="24" outlineLevel="1">
      <c r="B95" s="31">
        <v>13</v>
      </c>
      <c r="C95" s="366" t="s">
        <v>118</v>
      </c>
      <c r="D95" s="292" t="s">
        <v>118</v>
      </c>
      <c r="E95" s="69" t="s">
        <v>28</v>
      </c>
      <c r="F95" s="47" t="s">
        <v>28</v>
      </c>
      <c r="G95" s="47" t="s">
        <v>28</v>
      </c>
      <c r="H95" s="48" t="s">
        <v>28</v>
      </c>
      <c r="I95" s="49" t="s">
        <v>28</v>
      </c>
      <c r="J95" s="50" t="s">
        <v>28</v>
      </c>
      <c r="K95" s="50" t="s">
        <v>28</v>
      </c>
      <c r="L95" s="50" t="s">
        <v>28</v>
      </c>
    </row>
    <row r="96" spans="2:12" ht="24" outlineLevel="2">
      <c r="B96" s="32" t="s">
        <v>168</v>
      </c>
      <c r="C96" s="99" t="s">
        <v>119</v>
      </c>
      <c r="D96" s="294" t="s">
        <v>203</v>
      </c>
      <c r="E96" s="67">
        <f>0</f>
        <v>0</v>
      </c>
      <c r="F96" s="37">
        <f>0</f>
        <v>0</v>
      </c>
      <c r="G96" s="37">
        <f>0</f>
        <v>0</v>
      </c>
      <c r="H96" s="38">
        <f>0</f>
        <v>0</v>
      </c>
      <c r="I96" s="39">
        <f>0</f>
        <v>0</v>
      </c>
      <c r="J96" s="40">
        <f>0</f>
        <v>0</v>
      </c>
      <c r="K96" s="40">
        <f>0</f>
        <v>0</v>
      </c>
      <c r="L96" s="40">
        <f>0</f>
        <v>0</v>
      </c>
    </row>
    <row r="97" spans="1:12" ht="24" outlineLevel="2">
      <c r="B97" s="32" t="s">
        <v>169</v>
      </c>
      <c r="C97" s="99" t="s">
        <v>120</v>
      </c>
      <c r="D97" s="294" t="s">
        <v>457</v>
      </c>
      <c r="E97" s="67">
        <f>0</f>
        <v>0</v>
      </c>
      <c r="F97" s="37">
        <f>0</f>
        <v>0</v>
      </c>
      <c r="G97" s="37">
        <f>0</f>
        <v>0</v>
      </c>
      <c r="H97" s="38">
        <f>0</f>
        <v>0</v>
      </c>
      <c r="I97" s="39">
        <f>0</f>
        <v>0</v>
      </c>
      <c r="J97" s="40">
        <f>0</f>
        <v>0</v>
      </c>
      <c r="K97" s="40">
        <f>0</f>
        <v>0</v>
      </c>
      <c r="L97" s="40">
        <f>0</f>
        <v>0</v>
      </c>
    </row>
    <row r="98" spans="1:12" outlineLevel="2">
      <c r="B98" s="32" t="s">
        <v>170</v>
      </c>
      <c r="C98" s="99" t="s">
        <v>121</v>
      </c>
      <c r="D98" s="294" t="s">
        <v>204</v>
      </c>
      <c r="E98" s="67">
        <f>0</f>
        <v>0</v>
      </c>
      <c r="F98" s="37">
        <f>0</f>
        <v>0</v>
      </c>
      <c r="G98" s="37">
        <f>0</f>
        <v>0</v>
      </c>
      <c r="H98" s="38">
        <f>0</f>
        <v>0</v>
      </c>
      <c r="I98" s="39">
        <f>0</f>
        <v>0</v>
      </c>
      <c r="J98" s="40">
        <f>0</f>
        <v>0</v>
      </c>
      <c r="K98" s="40">
        <f>0</f>
        <v>0</v>
      </c>
      <c r="L98" s="40">
        <f>0</f>
        <v>0</v>
      </c>
    </row>
    <row r="99" spans="1:12" ht="24" outlineLevel="2">
      <c r="B99" s="32" t="s">
        <v>171</v>
      </c>
      <c r="C99" s="99" t="s">
        <v>122</v>
      </c>
      <c r="D99" s="294" t="s">
        <v>458</v>
      </c>
      <c r="E99" s="67">
        <f>0</f>
        <v>0</v>
      </c>
      <c r="F99" s="37">
        <f>0</f>
        <v>0</v>
      </c>
      <c r="G99" s="37">
        <f>0</f>
        <v>0</v>
      </c>
      <c r="H99" s="38">
        <f>0</f>
        <v>0</v>
      </c>
      <c r="I99" s="39">
        <f>0</f>
        <v>0</v>
      </c>
      <c r="J99" s="40">
        <f>0</f>
        <v>0</v>
      </c>
      <c r="K99" s="40">
        <f>0</f>
        <v>0</v>
      </c>
      <c r="L99" s="40">
        <f>0</f>
        <v>0</v>
      </c>
    </row>
    <row r="100" spans="1:12" ht="24" outlineLevel="2">
      <c r="B100" s="32" t="s">
        <v>172</v>
      </c>
      <c r="C100" s="99" t="s">
        <v>123</v>
      </c>
      <c r="D100" s="294" t="s">
        <v>459</v>
      </c>
      <c r="E100" s="67">
        <f>0</f>
        <v>0</v>
      </c>
      <c r="F100" s="37">
        <f>0</f>
        <v>0</v>
      </c>
      <c r="G100" s="37">
        <f>0</f>
        <v>0</v>
      </c>
      <c r="H100" s="38">
        <f>0</f>
        <v>0</v>
      </c>
      <c r="I100" s="39">
        <f>0</f>
        <v>0</v>
      </c>
      <c r="J100" s="40">
        <f>0</f>
        <v>0</v>
      </c>
      <c r="K100" s="40">
        <f>0</f>
        <v>0</v>
      </c>
      <c r="L100" s="40">
        <f>0</f>
        <v>0</v>
      </c>
    </row>
    <row r="101" spans="1:12" ht="24" outlineLevel="2">
      <c r="B101" s="32" t="s">
        <v>173</v>
      </c>
      <c r="C101" s="99" t="s">
        <v>124</v>
      </c>
      <c r="D101" s="294" t="s">
        <v>205</v>
      </c>
      <c r="E101" s="67">
        <f>0</f>
        <v>0</v>
      </c>
      <c r="F101" s="37">
        <f>0</f>
        <v>0</v>
      </c>
      <c r="G101" s="37">
        <f>0</f>
        <v>0</v>
      </c>
      <c r="H101" s="38">
        <f>0</f>
        <v>0</v>
      </c>
      <c r="I101" s="39">
        <f>0</f>
        <v>0</v>
      </c>
      <c r="J101" s="40">
        <f>0</f>
        <v>0</v>
      </c>
      <c r="K101" s="40">
        <f>0</f>
        <v>0</v>
      </c>
      <c r="L101" s="40">
        <f>0</f>
        <v>0</v>
      </c>
    </row>
    <row r="102" spans="1:12" ht="24" outlineLevel="2">
      <c r="B102" s="32" t="s">
        <v>174</v>
      </c>
      <c r="C102" s="99" t="s">
        <v>125</v>
      </c>
      <c r="D102" s="294" t="s">
        <v>206</v>
      </c>
      <c r="E102" s="67">
        <f>0</f>
        <v>0</v>
      </c>
      <c r="F102" s="37">
        <f>0</f>
        <v>0</v>
      </c>
      <c r="G102" s="37">
        <f>0</f>
        <v>0</v>
      </c>
      <c r="H102" s="38">
        <f>0</f>
        <v>0</v>
      </c>
      <c r="I102" s="39">
        <f>0</f>
        <v>0</v>
      </c>
      <c r="J102" s="40">
        <f>0</f>
        <v>0</v>
      </c>
      <c r="K102" s="40">
        <f>0</f>
        <v>0</v>
      </c>
      <c r="L102" s="40">
        <f>0</f>
        <v>0</v>
      </c>
    </row>
    <row r="103" spans="1:12" outlineLevel="1">
      <c r="A103" s="309" t="s">
        <v>28</v>
      </c>
      <c r="B103" s="31">
        <v>14</v>
      </c>
      <c r="C103" s="366" t="s">
        <v>126</v>
      </c>
      <c r="D103" s="293" t="s">
        <v>126</v>
      </c>
      <c r="E103" s="69" t="s">
        <v>28</v>
      </c>
      <c r="F103" s="47" t="s">
        <v>28</v>
      </c>
      <c r="G103" s="47" t="s">
        <v>28</v>
      </c>
      <c r="H103" s="48" t="s">
        <v>28</v>
      </c>
      <c r="I103" s="49" t="s">
        <v>28</v>
      </c>
      <c r="J103" s="50" t="s">
        <v>28</v>
      </c>
      <c r="K103" s="50" t="s">
        <v>28</v>
      </c>
      <c r="L103" s="50" t="s">
        <v>28</v>
      </c>
    </row>
    <row r="104" spans="1:12" ht="24" outlineLevel="2">
      <c r="A104" s="309" t="s">
        <v>28</v>
      </c>
      <c r="B104" s="32" t="s">
        <v>175</v>
      </c>
      <c r="C104" s="99" t="s">
        <v>127</v>
      </c>
      <c r="D104" s="294" t="s">
        <v>207</v>
      </c>
      <c r="E104" s="67">
        <f>601088.34</f>
        <v>601088.34</v>
      </c>
      <c r="F104" s="37">
        <f>1278520.75</f>
        <v>1278520.75</v>
      </c>
      <c r="G104" s="37">
        <f>737521.46</f>
        <v>737521.46</v>
      </c>
      <c r="H104" s="38">
        <f>737521.46</f>
        <v>737521.46</v>
      </c>
      <c r="I104" s="39">
        <f>773956.19</f>
        <v>773956.19</v>
      </c>
      <c r="J104" s="40">
        <f>0</f>
        <v>0</v>
      </c>
      <c r="K104" s="40">
        <f>0</f>
        <v>0</v>
      </c>
      <c r="L104" s="40">
        <f>0</f>
        <v>0</v>
      </c>
    </row>
    <row r="105" spans="1:12" outlineLevel="2">
      <c r="A105" s="309" t="s">
        <v>28</v>
      </c>
      <c r="B105" s="32" t="s">
        <v>176</v>
      </c>
      <c r="C105" s="99" t="s">
        <v>128</v>
      </c>
      <c r="D105" s="294" t="s">
        <v>208</v>
      </c>
      <c r="E105" s="67">
        <f>0</f>
        <v>0</v>
      </c>
      <c r="F105" s="37">
        <f>0</f>
        <v>0</v>
      </c>
      <c r="G105" s="37">
        <f>0</f>
        <v>0</v>
      </c>
      <c r="H105" s="38">
        <f>0</f>
        <v>0</v>
      </c>
      <c r="I105" s="39">
        <f>0</f>
        <v>0</v>
      </c>
      <c r="J105" s="40">
        <f>0</f>
        <v>0</v>
      </c>
      <c r="K105" s="40">
        <f>0</f>
        <v>0</v>
      </c>
      <c r="L105" s="40">
        <f>0</f>
        <v>0</v>
      </c>
    </row>
    <row r="106" spans="1:12" outlineLevel="2">
      <c r="A106" s="309" t="s">
        <v>28</v>
      </c>
      <c r="B106" s="32" t="s">
        <v>177</v>
      </c>
      <c r="C106" s="99" t="s">
        <v>129</v>
      </c>
      <c r="D106" s="294" t="s">
        <v>460</v>
      </c>
      <c r="E106" s="67">
        <f>0</f>
        <v>0</v>
      </c>
      <c r="F106" s="37">
        <f>0</f>
        <v>0</v>
      </c>
      <c r="G106" s="37">
        <f>0</f>
        <v>0</v>
      </c>
      <c r="H106" s="38">
        <f>0</f>
        <v>0</v>
      </c>
      <c r="I106" s="39">
        <f>0</f>
        <v>0</v>
      </c>
      <c r="J106" s="40">
        <f>0</f>
        <v>0</v>
      </c>
      <c r="K106" s="40">
        <f>0</f>
        <v>0</v>
      </c>
      <c r="L106" s="40">
        <f>0</f>
        <v>0</v>
      </c>
    </row>
    <row r="107" spans="1:12" outlineLevel="3">
      <c r="A107" s="309" t="s">
        <v>28</v>
      </c>
      <c r="B107" s="32" t="s">
        <v>130</v>
      </c>
      <c r="C107" s="99" t="s">
        <v>131</v>
      </c>
      <c r="D107" s="295" t="s">
        <v>209</v>
      </c>
      <c r="E107" s="67">
        <f>0</f>
        <v>0</v>
      </c>
      <c r="F107" s="37">
        <f>0</f>
        <v>0</v>
      </c>
      <c r="G107" s="37">
        <f>0</f>
        <v>0</v>
      </c>
      <c r="H107" s="38">
        <f>0</f>
        <v>0</v>
      </c>
      <c r="I107" s="39">
        <f>0</f>
        <v>0</v>
      </c>
      <c r="J107" s="40">
        <f>0</f>
        <v>0</v>
      </c>
      <c r="K107" s="40">
        <f>0</f>
        <v>0</v>
      </c>
      <c r="L107" s="40">
        <f>0</f>
        <v>0</v>
      </c>
    </row>
    <row r="108" spans="1:12" outlineLevel="3">
      <c r="A108" s="309" t="s">
        <v>28</v>
      </c>
      <c r="B108" s="32" t="s">
        <v>132</v>
      </c>
      <c r="C108" s="99" t="s">
        <v>416</v>
      </c>
      <c r="D108" s="295" t="s">
        <v>461</v>
      </c>
      <c r="E108" s="67">
        <f>0</f>
        <v>0</v>
      </c>
      <c r="F108" s="37">
        <f>0</f>
        <v>0</v>
      </c>
      <c r="G108" s="37">
        <f>0</f>
        <v>0</v>
      </c>
      <c r="H108" s="38">
        <f>0</f>
        <v>0</v>
      </c>
      <c r="I108" s="39">
        <f>0</f>
        <v>0</v>
      </c>
      <c r="J108" s="40">
        <f>0</f>
        <v>0</v>
      </c>
      <c r="K108" s="40">
        <f>0</f>
        <v>0</v>
      </c>
      <c r="L108" s="40">
        <f>0</f>
        <v>0</v>
      </c>
    </row>
    <row r="109" spans="1:12" outlineLevel="3">
      <c r="A109" s="309" t="s">
        <v>28</v>
      </c>
      <c r="B109" s="32" t="s">
        <v>133</v>
      </c>
      <c r="C109" s="99" t="s">
        <v>134</v>
      </c>
      <c r="D109" s="295" t="s">
        <v>210</v>
      </c>
      <c r="E109" s="67">
        <f>0</f>
        <v>0</v>
      </c>
      <c r="F109" s="37">
        <f>0</f>
        <v>0</v>
      </c>
      <c r="G109" s="37">
        <f>0</f>
        <v>0</v>
      </c>
      <c r="H109" s="38">
        <f>0</f>
        <v>0</v>
      </c>
      <c r="I109" s="39">
        <f>0</f>
        <v>0</v>
      </c>
      <c r="J109" s="40">
        <f>0</f>
        <v>0</v>
      </c>
      <c r="K109" s="40">
        <f>0</f>
        <v>0</v>
      </c>
      <c r="L109" s="40">
        <f>0</f>
        <v>0</v>
      </c>
    </row>
    <row r="110" spans="1:12" outlineLevel="2">
      <c r="A110" s="309" t="s">
        <v>28</v>
      </c>
      <c r="B110" s="32" t="s">
        <v>178</v>
      </c>
      <c r="C110" s="99" t="s">
        <v>135</v>
      </c>
      <c r="D110" s="294" t="s">
        <v>468</v>
      </c>
      <c r="E110" s="67">
        <f>0</f>
        <v>0</v>
      </c>
      <c r="F110" s="37">
        <f>0</f>
        <v>0</v>
      </c>
      <c r="G110" s="37">
        <f>0</f>
        <v>0</v>
      </c>
      <c r="H110" s="38">
        <f>0</f>
        <v>0</v>
      </c>
      <c r="I110" s="39">
        <f>0</f>
        <v>0</v>
      </c>
      <c r="J110" s="40">
        <f>0</f>
        <v>0</v>
      </c>
      <c r="K110" s="40">
        <f>0</f>
        <v>0</v>
      </c>
      <c r="L110" s="40">
        <f>0</f>
        <v>0</v>
      </c>
    </row>
    <row r="111" spans="1:12" outlineLevel="1">
      <c r="B111" s="31">
        <v>15</v>
      </c>
      <c r="C111" s="366" t="s">
        <v>417</v>
      </c>
      <c r="D111" s="293" t="s">
        <v>417</v>
      </c>
      <c r="E111" s="69" t="s">
        <v>28</v>
      </c>
      <c r="F111" s="47" t="s">
        <v>28</v>
      </c>
      <c r="G111" s="47" t="s">
        <v>28</v>
      </c>
      <c r="H111" s="48" t="s">
        <v>28</v>
      </c>
      <c r="I111" s="49" t="s">
        <v>28</v>
      </c>
      <c r="J111" s="50" t="s">
        <v>28</v>
      </c>
      <c r="K111" s="50" t="s">
        <v>28</v>
      </c>
      <c r="L111" s="50" t="s">
        <v>28</v>
      </c>
    </row>
    <row r="112" spans="1:12" outlineLevel="2">
      <c r="B112" s="32" t="s">
        <v>418</v>
      </c>
      <c r="C112" s="99" t="s">
        <v>419</v>
      </c>
      <c r="D112" s="294" t="s">
        <v>463</v>
      </c>
      <c r="E112" s="67">
        <f>0</f>
        <v>0</v>
      </c>
      <c r="F112" s="37">
        <f>0</f>
        <v>0</v>
      </c>
      <c r="G112" s="37">
        <f>0</f>
        <v>0</v>
      </c>
      <c r="H112" s="38">
        <f>0</f>
        <v>0</v>
      </c>
      <c r="I112" s="39">
        <f>0</f>
        <v>0</v>
      </c>
      <c r="J112" s="40">
        <f>0</f>
        <v>0</v>
      </c>
      <c r="K112" s="40">
        <f>0</f>
        <v>0</v>
      </c>
      <c r="L112" s="40">
        <f>0</f>
        <v>0</v>
      </c>
    </row>
    <row r="113" spans="1:12" outlineLevel="3">
      <c r="A113" s="309" t="s">
        <v>28</v>
      </c>
      <c r="B113" s="32" t="s">
        <v>420</v>
      </c>
      <c r="C113" s="99" t="s">
        <v>421</v>
      </c>
      <c r="D113" s="295" t="s">
        <v>462</v>
      </c>
      <c r="E113" s="67">
        <f>0</f>
        <v>0</v>
      </c>
      <c r="F113" s="37">
        <f>0</f>
        <v>0</v>
      </c>
      <c r="G113" s="37">
        <f>0</f>
        <v>0</v>
      </c>
      <c r="H113" s="38">
        <f>0</f>
        <v>0</v>
      </c>
      <c r="I113" s="39">
        <f>0</f>
        <v>0</v>
      </c>
      <c r="J113" s="40">
        <f>0</f>
        <v>0</v>
      </c>
      <c r="K113" s="40">
        <f>0</f>
        <v>0</v>
      </c>
      <c r="L113" s="40">
        <f>0</f>
        <v>0</v>
      </c>
    </row>
    <row r="114" spans="1:12" ht="24" outlineLevel="2">
      <c r="A114" s="309" t="s">
        <v>28</v>
      </c>
      <c r="B114" s="348" t="s">
        <v>422</v>
      </c>
      <c r="C114" s="367" t="s">
        <v>424</v>
      </c>
      <c r="D114" s="305" t="s">
        <v>424</v>
      </c>
      <c r="E114" s="70">
        <f>0</f>
        <v>0</v>
      </c>
      <c r="F114" s="51">
        <f>0</f>
        <v>0</v>
      </c>
      <c r="G114" s="51">
        <f>0</f>
        <v>0</v>
      </c>
      <c r="H114" s="52">
        <f>0</f>
        <v>0</v>
      </c>
      <c r="I114" s="53">
        <f>0</f>
        <v>0</v>
      </c>
      <c r="J114" s="54">
        <f>0</f>
        <v>0</v>
      </c>
      <c r="K114" s="54">
        <f>0</f>
        <v>0</v>
      </c>
      <c r="L114" s="54">
        <f>0</f>
        <v>0</v>
      </c>
    </row>
    <row r="115" spans="1:1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1:12" ht="15">
      <c r="B116" s="103" t="s">
        <v>213</v>
      </c>
      <c r="C116" s="81"/>
      <c r="D116" s="81"/>
      <c r="E116" s="104"/>
      <c r="F116" s="104"/>
      <c r="G116" s="104"/>
      <c r="H116" s="104"/>
      <c r="I116" s="81"/>
      <c r="J116" s="81"/>
      <c r="K116" s="81"/>
      <c r="L116" s="81"/>
    </row>
    <row r="117" spans="1:12" ht="15">
      <c r="B117" s="105" t="s">
        <v>325</v>
      </c>
      <c r="C117" s="81"/>
      <c r="D117" s="81"/>
      <c r="E117" s="106"/>
      <c r="F117" s="106"/>
      <c r="G117" s="106"/>
      <c r="H117" s="106"/>
      <c r="I117" s="81"/>
      <c r="J117" s="81"/>
      <c r="K117" s="81"/>
      <c r="L117" s="81"/>
    </row>
    <row r="118" spans="1:12">
      <c r="B118" s="107"/>
      <c r="C118" s="107"/>
      <c r="D118" s="81"/>
      <c r="E118" s="106"/>
      <c r="F118" s="106"/>
      <c r="G118" s="106"/>
      <c r="H118" s="106"/>
      <c r="I118" s="81"/>
      <c r="J118" s="81"/>
      <c r="K118" s="81"/>
      <c r="L118" s="81"/>
    </row>
    <row r="119" spans="1:12">
      <c r="B119" s="107"/>
      <c r="C119" s="107"/>
      <c r="D119" s="81"/>
      <c r="E119" s="106"/>
      <c r="F119" s="106"/>
      <c r="G119" s="106"/>
      <c r="H119" s="106"/>
      <c r="I119" s="81"/>
      <c r="J119" s="81"/>
      <c r="K119" s="81"/>
      <c r="L119" s="81"/>
    </row>
    <row r="120" spans="1:12" ht="15">
      <c r="B120" s="108" t="s">
        <v>309</v>
      </c>
      <c r="C120" s="108"/>
      <c r="D120" s="108"/>
      <c r="E120" s="109"/>
      <c r="F120" s="109"/>
      <c r="G120" s="109"/>
      <c r="H120" s="106"/>
      <c r="I120" s="81"/>
      <c r="J120" s="81"/>
      <c r="K120" s="81"/>
      <c r="L120" s="81"/>
    </row>
    <row r="121" spans="1:12" outlineLevel="1">
      <c r="B121" s="110"/>
      <c r="C121" s="110"/>
      <c r="D121" s="111" t="s">
        <v>310</v>
      </c>
      <c r="E121" s="106"/>
      <c r="F121" s="106"/>
      <c r="G121" s="106"/>
      <c r="H121" s="106"/>
      <c r="I121" s="81"/>
      <c r="J121" s="81"/>
      <c r="K121" s="81"/>
      <c r="L121" s="81"/>
    </row>
    <row r="122" spans="1:12" outlineLevel="1">
      <c r="B122" s="110"/>
      <c r="C122" s="110"/>
      <c r="D122" s="112" t="s">
        <v>311</v>
      </c>
      <c r="E122" s="106"/>
      <c r="F122" s="106"/>
      <c r="G122" s="106"/>
      <c r="H122" s="106"/>
      <c r="I122" s="81"/>
      <c r="J122" s="81"/>
      <c r="K122" s="81"/>
      <c r="L122" s="81"/>
    </row>
    <row r="123" spans="1:12" outlineLevel="1">
      <c r="B123" s="110"/>
      <c r="C123" s="110"/>
      <c r="D123" s="113" t="s">
        <v>266</v>
      </c>
      <c r="E123" s="106"/>
      <c r="F123" s="106"/>
      <c r="G123" s="106"/>
      <c r="H123" s="106"/>
      <c r="I123" s="81"/>
      <c r="J123" s="81"/>
      <c r="K123" s="81"/>
      <c r="L123" s="81"/>
    </row>
    <row r="124" spans="1:12" outlineLevel="1">
      <c r="B124" s="247"/>
      <c r="C124" s="247"/>
      <c r="D124" s="248" t="s">
        <v>340</v>
      </c>
      <c r="E124" s="106"/>
      <c r="F124" s="106"/>
      <c r="G124" s="106"/>
      <c r="H124" s="106"/>
      <c r="I124" s="81"/>
      <c r="J124" s="81"/>
      <c r="K124" s="81"/>
      <c r="L124" s="81"/>
    </row>
    <row r="125" spans="1:12" outlineLevel="2">
      <c r="B125" s="297" t="s">
        <v>216</v>
      </c>
      <c r="C125" s="301" t="s">
        <v>216</v>
      </c>
      <c r="D125" s="61" t="s">
        <v>261</v>
      </c>
      <c r="E125" s="329" t="s">
        <v>28</v>
      </c>
      <c r="F125" s="330" t="s">
        <v>28</v>
      </c>
      <c r="G125" s="330" t="s">
        <v>28</v>
      </c>
      <c r="H125" s="331" t="s">
        <v>28</v>
      </c>
      <c r="I125" s="282" t="str">
        <f>IF(ROUND(I11+I33+I35,2)&gt;=ROUND(I22-I25,2),"TAK","NIE")</f>
        <v>TAK</v>
      </c>
      <c r="J125" s="278" t="str">
        <f>IF(ROUND(J11+J33+J35,2)&gt;=ROUND(J22-J25,2),"TAK","NIE")</f>
        <v>TAK</v>
      </c>
      <c r="K125" s="278" t="str">
        <f>IF(ROUND(K11+K33+K35,2)&gt;=ROUND(K22-K25,2),"TAK","NIE")</f>
        <v>TAK</v>
      </c>
      <c r="L125" s="278" t="str">
        <f>IF(ROUND(L11+L33+L35,2)&gt;=ROUND(L22-L25,2),"TAK","NIE")</f>
        <v>TAK</v>
      </c>
    </row>
    <row r="126" spans="1:12" ht="24" outlineLevel="2">
      <c r="B126" s="298" t="s">
        <v>214</v>
      </c>
      <c r="C126" s="349" t="s">
        <v>214</v>
      </c>
      <c r="D126" s="62" t="s">
        <v>320</v>
      </c>
      <c r="E126" s="332" t="s">
        <v>28</v>
      </c>
      <c r="F126" s="333" t="s">
        <v>28</v>
      </c>
      <c r="G126" s="333" t="s">
        <v>28</v>
      </c>
      <c r="H126" s="334" t="s">
        <v>28</v>
      </c>
      <c r="I126" s="283" t="s">
        <v>28</v>
      </c>
      <c r="J126" s="276" t="s">
        <v>28</v>
      </c>
      <c r="K126" s="276" t="str">
        <f>IF(K98=0,"TAK","BŁĄD")</f>
        <v>TAK</v>
      </c>
      <c r="L126" s="276" t="str">
        <f>IF(L98=0,"TAK","BŁĄD")</f>
        <v>TAK</v>
      </c>
    </row>
    <row r="127" spans="1:12" outlineLevel="1">
      <c r="B127" s="298" t="s">
        <v>215</v>
      </c>
      <c r="C127" s="349" t="s">
        <v>215</v>
      </c>
      <c r="D127" s="63" t="s">
        <v>262</v>
      </c>
      <c r="E127" s="332" t="s">
        <v>28</v>
      </c>
      <c r="F127" s="333" t="s">
        <v>28</v>
      </c>
      <c r="G127" s="333" t="s">
        <v>28</v>
      </c>
      <c r="H127" s="334" t="s">
        <v>28</v>
      </c>
      <c r="I127" s="288" t="str">
        <f>IF(ROUND(I10+I32-I21-I41,2)=0,"OK",ROUND(I10+I32-I21-I41,2))</f>
        <v>OK</v>
      </c>
      <c r="J127" s="289" t="str">
        <f>IF(ROUND(J10+J32-J21-J41,2)=0,"OK",ROUND(J10+J32-J21-J41,2))</f>
        <v>OK</v>
      </c>
      <c r="K127" s="289" t="str">
        <f>IF(ROUND(K10+K32-K21-K41,2)=0,"OK",ROUND(K10+K32-K21-K41,2))</f>
        <v>OK</v>
      </c>
      <c r="L127" s="289" t="str">
        <f>IF(ROUND(L10+L32-L21-L41,2)=0,"OK",ROUND(L10+L32-L21-L41,2))</f>
        <v>OK</v>
      </c>
    </row>
    <row r="128" spans="1:12" outlineLevel="2">
      <c r="B128" s="307" t="s">
        <v>344</v>
      </c>
      <c r="C128" s="310" t="s">
        <v>344</v>
      </c>
      <c r="D128" s="63" t="s">
        <v>263</v>
      </c>
      <c r="E128" s="332" t="s">
        <v>28</v>
      </c>
      <c r="F128" s="333" t="s">
        <v>28</v>
      </c>
      <c r="G128" s="333" t="s">
        <v>28</v>
      </c>
      <c r="H128" s="334" t="s">
        <v>28</v>
      </c>
      <c r="I128" s="288" t="str">
        <f>+IF(ROUND(H48+I37-I42+(I105-H105)+I110-I48,2)=0,"OK",ROUND(H48+I37-I42+(I105-H105)+I110-I48,2))</f>
        <v>OK</v>
      </c>
      <c r="J128" s="289" t="str">
        <f>+IF(ROUND(I48+J37-J42+(J105-I105)+J110-J48,2)=0,"OK",ROUND(I48+J37-J42+(J105-I105)+J110-J48,2))</f>
        <v>OK</v>
      </c>
      <c r="K128" s="289" t="str">
        <f>+IF(ROUND(J48+K37-K42+(K105-J105)+K110-K48,2)=0,"OK",ROUND(J48+K37-K42+(K105-J105)+K110-K48,2))</f>
        <v>OK</v>
      </c>
      <c r="L128" s="289" t="str">
        <f>+IF(ROUND(K48+L37-L42+(L105-K105)+L110-L48,2)=0,"OK",ROUND(K48+L37-L42+(L105-K105)+L110-L48,2))</f>
        <v>OK</v>
      </c>
    </row>
    <row r="129" spans="2:12" ht="48" outlineLevel="2">
      <c r="B129" s="307" t="s">
        <v>345</v>
      </c>
      <c r="C129" s="310" t="s">
        <v>345</v>
      </c>
      <c r="D129" s="63" t="s">
        <v>353</v>
      </c>
      <c r="E129" s="335" t="s">
        <v>28</v>
      </c>
      <c r="F129" s="333" t="s">
        <v>28</v>
      </c>
      <c r="G129" s="333" t="s">
        <v>28</v>
      </c>
      <c r="H129" s="334" t="s">
        <v>28</v>
      </c>
      <c r="I129" s="289" t="str">
        <f>+IF(H105=0,"N/D",IF(ROUND(I105+I106-H105,2)=0,"OK",ROUND(I105+I106-H105,2)))</f>
        <v>N/D</v>
      </c>
      <c r="J129" s="289" t="str">
        <f>+IF(I105=0,"N/D",IF(ROUND(J105+J106-I105,2)=0,"OK",ROUND(J105+J106-I105,2)))</f>
        <v>N/D</v>
      </c>
      <c r="K129" s="289" t="str">
        <f>+IF(J105=0,"N/D",IF(ROUND(K105+K106-J105,2)=0,"OK",ROUND(K105+K106-J105,2)))</f>
        <v>N/D</v>
      </c>
      <c r="L129" s="289" t="str">
        <f>+IF(K105=0,"N/D",IF(ROUND(L105+L106-K105,2)=0,"OK",ROUND(L105+L106-K105,2)))</f>
        <v>N/D</v>
      </c>
    </row>
    <row r="130" spans="2:12" ht="36" outlineLevel="2">
      <c r="B130" s="307" t="s">
        <v>347</v>
      </c>
      <c r="C130" s="310" t="s">
        <v>347</v>
      </c>
      <c r="D130" s="63" t="s">
        <v>346</v>
      </c>
      <c r="E130" s="332" t="s">
        <v>28</v>
      </c>
      <c r="F130" s="333" t="s">
        <v>28</v>
      </c>
      <c r="G130" s="333" t="s">
        <v>28</v>
      </c>
      <c r="H130" s="334" t="s">
        <v>28</v>
      </c>
      <c r="I130" s="288" t="str">
        <f>+IF(H96=0,"N/D",IF(ROUND(I96+(I98+I99+I100+I101)-H96,2)=0,"OK",ROUND(I96+(I98+I99+I100+I101)-H96,2)))</f>
        <v>N/D</v>
      </c>
      <c r="J130" s="289" t="str">
        <f>+IF(I96=0,"N/D",IF(ROUND(J96+(J98+J99+J100+J101)-I96,2)=0,"OK",ROUND(J96+(J98+J99+J100+J101)-I96,2)))</f>
        <v>N/D</v>
      </c>
      <c r="K130" s="289" t="str">
        <f>+IF(J96=0,"N/D",IF(ROUND(K96+(K98+K99+K100+K101)-J96,2)=0,"OK",ROUND(K96+(K98+K99+K100+K101)-J96,2)))</f>
        <v>N/D</v>
      </c>
      <c r="L130" s="289" t="str">
        <f>+IF(K96=0,"N/D",IF(ROUND(L96+(L98+L99+L100+L101)-K96,2)=0,"OK",ROUND(L96+(L98+L99+L100+L101)-K96,2)))</f>
        <v>N/D</v>
      </c>
    </row>
    <row r="131" spans="2:12" outlineLevel="1">
      <c r="B131" s="298" t="s">
        <v>217</v>
      </c>
      <c r="C131" s="349" t="s">
        <v>217</v>
      </c>
      <c r="D131" s="64" t="s">
        <v>264</v>
      </c>
      <c r="E131" s="332" t="s">
        <v>28</v>
      </c>
      <c r="F131" s="333" t="s">
        <v>28</v>
      </c>
      <c r="G131" s="333" t="s">
        <v>28</v>
      </c>
      <c r="H131" s="334" t="s">
        <v>28</v>
      </c>
      <c r="I131" s="285" t="str">
        <f>IF(I31&lt;0,IF(ROUND(I34+I36+I38+I40+I31,2)=0,"OK",ROUND(I34+I36+I38+I40+I31,2)),"N/D")</f>
        <v>N/D</v>
      </c>
      <c r="J131" s="286" t="str">
        <f>IF(J31&lt;0,IF(ROUND(J34+J36+J38+J40+J31,2)=0,"OK",ROUND(J34+J36+J38+J40+J31,2)),"N/D")</f>
        <v>N/D</v>
      </c>
      <c r="K131" s="286" t="str">
        <f>IF(K31&lt;0,IF(ROUND(K34+K36+K38+K40+K31,2)=0,"OK",ROUND(K34+K36+K38+K40+K31,2)),"N/D")</f>
        <v>N/D</v>
      </c>
      <c r="L131" s="286" t="str">
        <f>IF(L31&lt;0,IF(ROUND(L34+L36+L38+L40+L31,2)=0,"OK",ROUND(L34+L36+L38+L40+L31,2)),"N/D")</f>
        <v>N/D</v>
      </c>
    </row>
    <row r="132" spans="2:12" outlineLevel="2">
      <c r="B132" s="298" t="s">
        <v>218</v>
      </c>
      <c r="C132" s="349" t="s">
        <v>218</v>
      </c>
      <c r="D132" s="64" t="s">
        <v>265</v>
      </c>
      <c r="E132" s="332" t="s">
        <v>28</v>
      </c>
      <c r="F132" s="333" t="s">
        <v>28</v>
      </c>
      <c r="G132" s="333" t="s">
        <v>28</v>
      </c>
      <c r="H132" s="334" t="s">
        <v>28</v>
      </c>
      <c r="I132" s="285" t="str">
        <f>IF(I31&gt;=0,IF(ROUND(I34+I36+I38+I40,2)=0,"OK",ROUND(I34+I36+I38+I40,2)),"N/D")</f>
        <v>OK</v>
      </c>
      <c r="J132" s="286" t="str">
        <f>IF(J31&gt;=0,IF(ROUND(J34+J36+J38+J40,2)=0,"OK",ROUND(J34+J36+J38+J40,2)),"N/D")</f>
        <v>OK</v>
      </c>
      <c r="K132" s="286" t="str">
        <f>IF(K31&gt;=0,IF(ROUND(K34+K36+K38+K40,2)=0,"OK",ROUND(K34+K36+K38+K40,2)),"N/D")</f>
        <v>OK</v>
      </c>
      <c r="L132" s="286" t="str">
        <f>IF(L31&gt;=0,IF(ROUND(L34+L36+L38+L40,2)=0,"OK",ROUND(L34+L36+L38+L40,2)),"N/D")</f>
        <v>OK</v>
      </c>
    </row>
    <row r="133" spans="2:12" outlineLevel="2">
      <c r="B133" s="298" t="s">
        <v>219</v>
      </c>
      <c r="C133" s="349" t="s">
        <v>219</v>
      </c>
      <c r="D133" s="64" t="s">
        <v>267</v>
      </c>
      <c r="E133" s="332" t="s">
        <v>28</v>
      </c>
      <c r="F133" s="333" t="s">
        <v>28</v>
      </c>
      <c r="G133" s="333" t="s">
        <v>28</v>
      </c>
      <c r="H133" s="334" t="s">
        <v>28</v>
      </c>
      <c r="I133" s="283" t="str">
        <f>IF(I14&gt;=I15,"OK","BŁĄD")</f>
        <v>OK</v>
      </c>
      <c r="J133" s="276" t="str">
        <f>IF(J14&gt;=J15,"OK","BŁĄD")</f>
        <v>OK</v>
      </c>
      <c r="K133" s="276" t="str">
        <f>IF(K14&gt;=K15,"OK","BŁĄD")</f>
        <v>OK</v>
      </c>
      <c r="L133" s="276" t="str">
        <f>IF(L14&gt;=L15,"OK","BŁĄD")</f>
        <v>OK</v>
      </c>
    </row>
    <row r="134" spans="2:12" outlineLevel="2">
      <c r="B134" s="298" t="s">
        <v>220</v>
      </c>
      <c r="C134" s="349" t="s">
        <v>220</v>
      </c>
      <c r="D134" s="64" t="s">
        <v>268</v>
      </c>
      <c r="E134" s="332" t="s">
        <v>28</v>
      </c>
      <c r="F134" s="333" t="s">
        <v>28</v>
      </c>
      <c r="G134" s="333" t="s">
        <v>28</v>
      </c>
      <c r="H134" s="334" t="s">
        <v>28</v>
      </c>
      <c r="I134" s="283" t="str">
        <f>IF(I17&gt;=I97,"OK","BŁĄD")</f>
        <v>OK</v>
      </c>
      <c r="J134" s="276" t="str">
        <f>IF(J17&gt;=J97,"OK","BŁĄD")</f>
        <v>OK</v>
      </c>
      <c r="K134" s="276" t="str">
        <f>IF(K17&gt;=K97,"OK","BŁĄD")</f>
        <v>OK</v>
      </c>
      <c r="L134" s="276" t="str">
        <f>IF(L17&gt;=L97,"OK","BŁĄD")</f>
        <v>OK</v>
      </c>
    </row>
    <row r="135" spans="2:12" outlineLevel="2">
      <c r="B135" s="298" t="s">
        <v>221</v>
      </c>
      <c r="C135" s="349" t="s">
        <v>221</v>
      </c>
      <c r="D135" s="64" t="s">
        <v>269</v>
      </c>
      <c r="E135" s="332" t="s">
        <v>28</v>
      </c>
      <c r="F135" s="333" t="s">
        <v>28</v>
      </c>
      <c r="G135" s="333" t="s">
        <v>28</v>
      </c>
      <c r="H135" s="334" t="s">
        <v>28</v>
      </c>
      <c r="I135" s="283" t="str">
        <f>IF(I11&gt;=I12+I13+I14+I16+I17,"OK","BŁĄD")</f>
        <v>OK</v>
      </c>
      <c r="J135" s="276" t="str">
        <f>IF(J11&gt;=J12+J13+J14+J16+J17,"OK","BŁĄD")</f>
        <v>OK</v>
      </c>
      <c r="K135" s="276" t="str">
        <f>IF(K11&gt;=K12+K13+K14+K16+K17,"OK","BŁĄD")</f>
        <v>OK</v>
      </c>
      <c r="L135" s="276" t="str">
        <f>IF(L11&gt;=L12+L13+L14+L16+L17,"OK","BŁĄD")</f>
        <v>OK</v>
      </c>
    </row>
    <row r="136" spans="2:12" outlineLevel="2">
      <c r="B136" s="298" t="s">
        <v>222</v>
      </c>
      <c r="C136" s="349" t="s">
        <v>222</v>
      </c>
      <c r="D136" s="64" t="s">
        <v>270</v>
      </c>
      <c r="E136" s="332" t="s">
        <v>28</v>
      </c>
      <c r="F136" s="333" t="s">
        <v>28</v>
      </c>
      <c r="G136" s="333" t="s">
        <v>28</v>
      </c>
      <c r="H136" s="334" t="s">
        <v>28</v>
      </c>
      <c r="I136" s="283" t="str">
        <f>IF(I11&gt;=I75,"OK","BŁĄD")</f>
        <v>OK</v>
      </c>
      <c r="J136" s="276" t="str">
        <f>IF(J11&gt;=J75,"OK","BŁĄD")</f>
        <v>OK</v>
      </c>
      <c r="K136" s="276" t="str">
        <f>IF(K11&gt;=K75,"OK","BŁĄD")</f>
        <v>OK</v>
      </c>
      <c r="L136" s="276" t="str">
        <f>IF(L11&gt;=L75,"OK","BŁĄD")</f>
        <v>OK</v>
      </c>
    </row>
    <row r="137" spans="2:12" outlineLevel="2">
      <c r="B137" s="298" t="s">
        <v>223</v>
      </c>
      <c r="C137" s="349" t="s">
        <v>223</v>
      </c>
      <c r="D137" s="64" t="s">
        <v>271</v>
      </c>
      <c r="E137" s="332" t="s">
        <v>28</v>
      </c>
      <c r="F137" s="333" t="s">
        <v>28</v>
      </c>
      <c r="G137" s="333" t="s">
        <v>28</v>
      </c>
      <c r="H137" s="334" t="s">
        <v>28</v>
      </c>
      <c r="I137" s="283" t="str">
        <f>IF(I18&gt;=I19,"OK","BŁĄD")</f>
        <v>OK</v>
      </c>
      <c r="J137" s="276" t="str">
        <f>IF(J18&gt;=J19,"OK","BŁĄD")</f>
        <v>OK</v>
      </c>
      <c r="K137" s="276" t="str">
        <f>IF(K18&gt;=K19,"OK","BŁĄD")</f>
        <v>OK</v>
      </c>
      <c r="L137" s="276" t="str">
        <f>IF(L18&gt;=L19,"OK","BŁĄD")</f>
        <v>OK</v>
      </c>
    </row>
    <row r="138" spans="2:12" outlineLevel="2">
      <c r="B138" s="298" t="s">
        <v>224</v>
      </c>
      <c r="C138" s="349" t="s">
        <v>224</v>
      </c>
      <c r="D138" s="64" t="s">
        <v>272</v>
      </c>
      <c r="E138" s="332" t="s">
        <v>28</v>
      </c>
      <c r="F138" s="333" t="s">
        <v>28</v>
      </c>
      <c r="G138" s="333" t="s">
        <v>28</v>
      </c>
      <c r="H138" s="334" t="s">
        <v>28</v>
      </c>
      <c r="I138" s="283" t="str">
        <f>IF(I18&gt;=I20,"OK","BŁĄD")</f>
        <v>OK</v>
      </c>
      <c r="J138" s="276" t="str">
        <f>IF(J18&gt;=J20,"OK","BŁĄD")</f>
        <v>OK</v>
      </c>
      <c r="K138" s="276" t="str">
        <f>IF(K18&gt;=K20,"OK","BŁĄD")</f>
        <v>OK</v>
      </c>
      <c r="L138" s="276" t="str">
        <f>IF(L18&gt;=L20,"OK","BŁĄD")</f>
        <v>OK</v>
      </c>
    </row>
    <row r="139" spans="2:12" outlineLevel="2">
      <c r="B139" s="298" t="s">
        <v>225</v>
      </c>
      <c r="C139" s="349" t="s">
        <v>225</v>
      </c>
      <c r="D139" s="64" t="s">
        <v>273</v>
      </c>
      <c r="E139" s="332" t="s">
        <v>28</v>
      </c>
      <c r="F139" s="333" t="s">
        <v>28</v>
      </c>
      <c r="G139" s="333" t="s">
        <v>28</v>
      </c>
      <c r="H139" s="334" t="s">
        <v>28</v>
      </c>
      <c r="I139" s="283" t="str">
        <f>IF(I18&gt;=I78,"OK","BŁĄD")</f>
        <v>OK</v>
      </c>
      <c r="J139" s="276" t="str">
        <f>IF(J18&gt;=J78,"OK","BŁĄD")</f>
        <v>OK</v>
      </c>
      <c r="K139" s="276" t="str">
        <f>IF(K18&gt;=K78,"OK","BŁĄD")</f>
        <v>OK</v>
      </c>
      <c r="L139" s="276" t="str">
        <f>IF(L18&gt;=L78,"OK","BŁĄD")</f>
        <v>OK</v>
      </c>
    </row>
    <row r="140" spans="2:12" outlineLevel="2">
      <c r="B140" s="298"/>
      <c r="C140" s="349"/>
      <c r="D140" s="64" t="s">
        <v>357</v>
      </c>
      <c r="E140" s="332" t="s">
        <v>28</v>
      </c>
      <c r="F140" s="333" t="s">
        <v>28</v>
      </c>
      <c r="G140" s="333" t="s">
        <v>28</v>
      </c>
      <c r="H140" s="334" t="s">
        <v>28</v>
      </c>
      <c r="I140" s="283" t="str">
        <f>+IF(I31&gt;0,IF(I31=I63,"OK","Błąd"),"N/D")</f>
        <v>OK</v>
      </c>
      <c r="J140" s="283" t="str">
        <f>+IF(J31&gt;0,IF(J31=J63,"OK","Błąd"),"N/D")</f>
        <v>N/D</v>
      </c>
      <c r="K140" s="283" t="str">
        <f>+IF(K31&gt;0,IF(K31=K63,"OK","Błąd"),"N/D")</f>
        <v>N/D</v>
      </c>
      <c r="L140" s="283" t="str">
        <f>+IF(L31&gt;0,IF(L31=L63,"OK","Błąd"),"N/D")</f>
        <v>N/D</v>
      </c>
    </row>
    <row r="141" spans="2:12" outlineLevel="2">
      <c r="B141" s="298" t="s">
        <v>226</v>
      </c>
      <c r="C141" s="349" t="s">
        <v>226</v>
      </c>
      <c r="D141" s="64" t="s">
        <v>274</v>
      </c>
      <c r="E141" s="332" t="s">
        <v>28</v>
      </c>
      <c r="F141" s="333" t="s">
        <v>28</v>
      </c>
      <c r="G141" s="333" t="s">
        <v>28</v>
      </c>
      <c r="H141" s="334" t="s">
        <v>28</v>
      </c>
      <c r="I141" s="283" t="str">
        <f>IF(I63&gt;=I64,"OK","BŁĄD")</f>
        <v>OK</v>
      </c>
      <c r="J141" s="276" t="str">
        <f>IF(J63&gt;=J64,"OK","BŁĄD")</f>
        <v>OK</v>
      </c>
      <c r="K141" s="276" t="str">
        <f>IF(K63&gt;=K64,"OK","BŁĄD")</f>
        <v>OK</v>
      </c>
      <c r="L141" s="276" t="str">
        <f>IF(L63&gt;=L64,"OK","BŁĄD")</f>
        <v>OK</v>
      </c>
    </row>
    <row r="142" spans="2:12" outlineLevel="2">
      <c r="B142" s="298"/>
      <c r="C142" s="349" t="s">
        <v>356</v>
      </c>
      <c r="D142" s="64" t="s">
        <v>355</v>
      </c>
      <c r="E142" s="332" t="s">
        <v>28</v>
      </c>
      <c r="F142" s="333" t="s">
        <v>28</v>
      </c>
      <c r="G142" s="333" t="s">
        <v>28</v>
      </c>
      <c r="H142" s="334" t="s">
        <v>28</v>
      </c>
      <c r="I142" s="283" t="str">
        <f>IF(I63&gt;0,IF(I64&gt;0,"OK","BŁĄD"),"N/D")</f>
        <v>OK</v>
      </c>
      <c r="J142" s="276" t="str">
        <f>IF(J63&gt;0,IF(J64&gt;0,"OK","BŁĄD"),"N/D")</f>
        <v>N/D</v>
      </c>
      <c r="K142" s="276" t="str">
        <f>IF(K63&gt;0,IF(K64&gt;0,"OK","BŁĄD"),"N/D")</f>
        <v>N/D</v>
      </c>
      <c r="L142" s="276" t="str">
        <f>IF(L63&gt;0,IF(L64&gt;0,"OK","BŁĄD"),"N/D")</f>
        <v>N/D</v>
      </c>
    </row>
    <row r="143" spans="2:12" outlineLevel="2">
      <c r="B143" s="298" t="s">
        <v>228</v>
      </c>
      <c r="C143" s="349" t="s">
        <v>228</v>
      </c>
      <c r="D143" s="64" t="s">
        <v>276</v>
      </c>
      <c r="E143" s="332" t="s">
        <v>28</v>
      </c>
      <c r="F143" s="333" t="s">
        <v>28</v>
      </c>
      <c r="G143" s="333" t="s">
        <v>28</v>
      </c>
      <c r="H143" s="334" t="s">
        <v>28</v>
      </c>
      <c r="I143" s="283" t="str">
        <f t="shared" ref="I143:L144" si="1">IF(I75&gt;=I76,"OK","BŁĄD")</f>
        <v>OK</v>
      </c>
      <c r="J143" s="276" t="str">
        <f t="shared" si="1"/>
        <v>OK</v>
      </c>
      <c r="K143" s="276" t="str">
        <f t="shared" si="1"/>
        <v>OK</v>
      </c>
      <c r="L143" s="276" t="str">
        <f t="shared" si="1"/>
        <v>OK</v>
      </c>
    </row>
    <row r="144" spans="2:12" outlineLevel="2">
      <c r="B144" s="298" t="s">
        <v>227</v>
      </c>
      <c r="C144" s="349" t="s">
        <v>227</v>
      </c>
      <c r="D144" s="64" t="s">
        <v>275</v>
      </c>
      <c r="E144" s="332" t="s">
        <v>28</v>
      </c>
      <c r="F144" s="333" t="s">
        <v>28</v>
      </c>
      <c r="G144" s="333" t="s">
        <v>28</v>
      </c>
      <c r="H144" s="334" t="s">
        <v>28</v>
      </c>
      <c r="I144" s="283" t="str">
        <f t="shared" si="1"/>
        <v>OK</v>
      </c>
      <c r="J144" s="276" t="str">
        <f t="shared" si="1"/>
        <v>OK</v>
      </c>
      <c r="K144" s="276" t="str">
        <f t="shared" si="1"/>
        <v>OK</v>
      </c>
      <c r="L144" s="276" t="str">
        <f t="shared" si="1"/>
        <v>OK</v>
      </c>
    </row>
    <row r="145" spans="2:12" outlineLevel="2">
      <c r="B145" s="298" t="s">
        <v>230</v>
      </c>
      <c r="C145" s="349" t="s">
        <v>230</v>
      </c>
      <c r="D145" s="64" t="s">
        <v>278</v>
      </c>
      <c r="E145" s="332" t="s">
        <v>28</v>
      </c>
      <c r="F145" s="333" t="s">
        <v>28</v>
      </c>
      <c r="G145" s="333" t="s">
        <v>28</v>
      </c>
      <c r="H145" s="334" t="s">
        <v>28</v>
      </c>
      <c r="I145" s="283" t="str">
        <f t="shared" ref="I145:L146" si="2">IF(I78&gt;=I79,"OK","BŁĄD")</f>
        <v>OK</v>
      </c>
      <c r="J145" s="276" t="str">
        <f t="shared" si="2"/>
        <v>OK</v>
      </c>
      <c r="K145" s="276" t="str">
        <f t="shared" si="2"/>
        <v>OK</v>
      </c>
      <c r="L145" s="276" t="str">
        <f t="shared" si="2"/>
        <v>OK</v>
      </c>
    </row>
    <row r="146" spans="2:12" outlineLevel="2">
      <c r="B146" s="298" t="s">
        <v>229</v>
      </c>
      <c r="C146" s="349" t="s">
        <v>229</v>
      </c>
      <c r="D146" s="64" t="s">
        <v>277</v>
      </c>
      <c r="E146" s="332" t="s">
        <v>28</v>
      </c>
      <c r="F146" s="333" t="s">
        <v>28</v>
      </c>
      <c r="G146" s="333" t="s">
        <v>28</v>
      </c>
      <c r="H146" s="334" t="s">
        <v>28</v>
      </c>
      <c r="I146" s="283" t="str">
        <f t="shared" si="2"/>
        <v>OK</v>
      </c>
      <c r="J146" s="276" t="str">
        <f t="shared" si="2"/>
        <v>OK</v>
      </c>
      <c r="K146" s="276" t="str">
        <f t="shared" si="2"/>
        <v>OK</v>
      </c>
      <c r="L146" s="276" t="str">
        <f t="shared" si="2"/>
        <v>OK</v>
      </c>
    </row>
    <row r="147" spans="2:12" outlineLevel="2">
      <c r="B147" s="298" t="s">
        <v>231</v>
      </c>
      <c r="C147" s="349" t="s">
        <v>231</v>
      </c>
      <c r="D147" s="64" t="s">
        <v>279</v>
      </c>
      <c r="E147" s="332" t="s">
        <v>28</v>
      </c>
      <c r="F147" s="333" t="s">
        <v>28</v>
      </c>
      <c r="G147" s="333" t="s">
        <v>28</v>
      </c>
      <c r="H147" s="334" t="s">
        <v>28</v>
      </c>
      <c r="I147" s="283" t="str">
        <f>IF(I81&gt;=I82,"OK","BŁĄD")</f>
        <v>OK</v>
      </c>
      <c r="J147" s="276" t="str">
        <f>IF(J81&gt;=J82,"OK","BŁĄD")</f>
        <v>OK</v>
      </c>
      <c r="K147" s="276" t="str">
        <f>IF(K81&gt;=K82,"OK","BŁĄD")</f>
        <v>OK</v>
      </c>
      <c r="L147" s="276" t="str">
        <f>IF(L81&gt;=L82,"OK","BŁĄD")</f>
        <v>OK</v>
      </c>
    </row>
    <row r="148" spans="2:12" outlineLevel="2">
      <c r="B148" s="298" t="s">
        <v>232</v>
      </c>
      <c r="C148" s="349" t="s">
        <v>232</v>
      </c>
      <c r="D148" s="64" t="s">
        <v>280</v>
      </c>
      <c r="E148" s="332" t="s">
        <v>28</v>
      </c>
      <c r="F148" s="333" t="s">
        <v>28</v>
      </c>
      <c r="G148" s="333" t="s">
        <v>28</v>
      </c>
      <c r="H148" s="334" t="s">
        <v>28</v>
      </c>
      <c r="I148" s="283" t="str">
        <f>IF(I81&gt;=I83,"OK","BŁĄD")</f>
        <v>OK</v>
      </c>
      <c r="J148" s="276" t="str">
        <f>IF(J81&gt;=J83,"OK","BŁĄD")</f>
        <v>OK</v>
      </c>
      <c r="K148" s="276" t="str">
        <f>IF(K81&gt;=K83,"OK","BŁĄD")</f>
        <v>OK</v>
      </c>
      <c r="L148" s="276" t="str">
        <f>IF(L81&gt;=L83,"OK","BŁĄD")</f>
        <v>OK</v>
      </c>
    </row>
    <row r="149" spans="2:12" outlineLevel="2">
      <c r="B149" s="298" t="s">
        <v>233</v>
      </c>
      <c r="C149" s="349" t="s">
        <v>233</v>
      </c>
      <c r="D149" s="64" t="s">
        <v>281</v>
      </c>
      <c r="E149" s="332" t="s">
        <v>28</v>
      </c>
      <c r="F149" s="333" t="s">
        <v>28</v>
      </c>
      <c r="G149" s="333" t="s">
        <v>28</v>
      </c>
      <c r="H149" s="334" t="s">
        <v>28</v>
      </c>
      <c r="I149" s="283" t="str">
        <f>IF(I84&gt;=I85,"OK","BŁĄD")</f>
        <v>OK</v>
      </c>
      <c r="J149" s="276" t="str">
        <f>IF(J84&gt;=J85,"OK","BŁĄD")</f>
        <v>OK</v>
      </c>
      <c r="K149" s="276" t="str">
        <f>IF(K84&gt;=K85,"OK","BŁĄD")</f>
        <v>OK</v>
      </c>
      <c r="L149" s="276" t="str">
        <f>IF(L84&gt;=L85,"OK","BŁĄD")</f>
        <v>OK</v>
      </c>
    </row>
    <row r="150" spans="2:12" outlineLevel="2">
      <c r="B150" s="298" t="s">
        <v>234</v>
      </c>
      <c r="C150" s="349" t="s">
        <v>234</v>
      </c>
      <c r="D150" s="64" t="s">
        <v>282</v>
      </c>
      <c r="E150" s="332" t="s">
        <v>28</v>
      </c>
      <c r="F150" s="333" t="s">
        <v>28</v>
      </c>
      <c r="G150" s="333" t="s">
        <v>28</v>
      </c>
      <c r="H150" s="334" t="s">
        <v>28</v>
      </c>
      <c r="I150" s="283" t="str">
        <f>IF(I84&gt;=I86,"OK","BŁĄD")</f>
        <v>OK</v>
      </c>
      <c r="J150" s="276" t="str">
        <f>IF(J84&gt;=J86,"OK","BŁĄD")</f>
        <v>OK</v>
      </c>
      <c r="K150" s="276" t="str">
        <f>IF(K84&gt;=K86,"OK","BŁĄD")</f>
        <v>OK</v>
      </c>
      <c r="L150" s="276" t="str">
        <f>IF(L84&gt;=L86,"OK","BŁĄD")</f>
        <v>OK</v>
      </c>
    </row>
    <row r="151" spans="2:12" outlineLevel="2">
      <c r="B151" s="298" t="s">
        <v>233</v>
      </c>
      <c r="C151" s="349" t="s">
        <v>233</v>
      </c>
      <c r="D151" s="64" t="s">
        <v>426</v>
      </c>
      <c r="E151" s="332" t="s">
        <v>28</v>
      </c>
      <c r="F151" s="333" t="s">
        <v>28</v>
      </c>
      <c r="G151" s="333" t="s">
        <v>28</v>
      </c>
      <c r="H151" s="334" t="s">
        <v>28</v>
      </c>
      <c r="I151" s="283" t="str">
        <f>IF(I87&gt;=I88,"OK","BŁĄD")</f>
        <v>OK</v>
      </c>
      <c r="J151" s="276" t="str">
        <f>IF(J87&gt;=J88,"OK","BŁĄD")</f>
        <v>OK</v>
      </c>
      <c r="K151" s="276" t="str">
        <f>IF(K87&gt;=K88,"OK","BŁĄD")</f>
        <v>OK</v>
      </c>
      <c r="L151" s="276" t="str">
        <f>IF(L87&gt;=L88,"OK","BŁĄD")</f>
        <v>OK</v>
      </c>
    </row>
    <row r="152" spans="2:12" outlineLevel="2">
      <c r="B152" s="298" t="s">
        <v>233</v>
      </c>
      <c r="C152" s="349" t="s">
        <v>233</v>
      </c>
      <c r="D152" s="64" t="s">
        <v>427</v>
      </c>
      <c r="E152" s="332" t="s">
        <v>28</v>
      </c>
      <c r="F152" s="333" t="s">
        <v>28</v>
      </c>
      <c r="G152" s="333" t="s">
        <v>28</v>
      </c>
      <c r="H152" s="334" t="s">
        <v>28</v>
      </c>
      <c r="I152" s="283" t="str">
        <f>IF(I89&gt;=I90,"OK","BŁĄD")</f>
        <v>OK</v>
      </c>
      <c r="J152" s="276" t="str">
        <f>IF(J89&gt;=J90,"OK","BŁĄD")</f>
        <v>OK</v>
      </c>
      <c r="K152" s="276" t="str">
        <f>IF(K89&gt;=K90,"OK","BŁĄD")</f>
        <v>OK</v>
      </c>
      <c r="L152" s="276" t="str">
        <f>IF(L89&gt;=L90,"OK","BŁĄD")</f>
        <v>OK</v>
      </c>
    </row>
    <row r="153" spans="2:12" outlineLevel="2">
      <c r="B153" s="298" t="s">
        <v>233</v>
      </c>
      <c r="C153" s="349" t="s">
        <v>233</v>
      </c>
      <c r="D153" s="64" t="s">
        <v>428</v>
      </c>
      <c r="E153" s="332" t="s">
        <v>28</v>
      </c>
      <c r="F153" s="333" t="s">
        <v>28</v>
      </c>
      <c r="G153" s="333" t="s">
        <v>28</v>
      </c>
      <c r="H153" s="334" t="s">
        <v>28</v>
      </c>
      <c r="I153" s="283" t="str">
        <f>IF(I91&gt;=I92,"OK","BŁĄD")</f>
        <v>OK</v>
      </c>
      <c r="J153" s="276" t="str">
        <f>IF(J91&gt;=J92,"OK","BŁĄD")</f>
        <v>OK</v>
      </c>
      <c r="K153" s="276" t="str">
        <f>IF(K91&gt;=K92,"OK","BŁĄD")</f>
        <v>OK</v>
      </c>
      <c r="L153" s="276" t="str">
        <f>IF(L91&gt;=L92,"OK","BŁĄD")</f>
        <v>OK</v>
      </c>
    </row>
    <row r="154" spans="2:12" outlineLevel="2">
      <c r="B154" s="298" t="s">
        <v>233</v>
      </c>
      <c r="C154" s="349" t="s">
        <v>233</v>
      </c>
      <c r="D154" s="64" t="s">
        <v>429</v>
      </c>
      <c r="E154" s="332" t="s">
        <v>28</v>
      </c>
      <c r="F154" s="333" t="s">
        <v>28</v>
      </c>
      <c r="G154" s="333" t="s">
        <v>28</v>
      </c>
      <c r="H154" s="334" t="s">
        <v>28</v>
      </c>
      <c r="I154" s="283" t="str">
        <f>IF(I93&gt;=I94,"OK","BŁĄD")</f>
        <v>OK</v>
      </c>
      <c r="J154" s="276" t="str">
        <f>IF(J93&gt;=J94,"OK","BŁĄD")</f>
        <v>OK</v>
      </c>
      <c r="K154" s="276" t="str">
        <f>IF(K93&gt;=K94,"OK","BŁĄD")</f>
        <v>OK</v>
      </c>
      <c r="L154" s="276" t="str">
        <f>IF(L93&gt;=L94,"OK","BŁĄD")</f>
        <v>OK</v>
      </c>
    </row>
    <row r="155" spans="2:12" outlineLevel="2">
      <c r="B155" s="298" t="s">
        <v>235</v>
      </c>
      <c r="C155" s="349" t="s">
        <v>235</v>
      </c>
      <c r="D155" s="64" t="s">
        <v>283</v>
      </c>
      <c r="E155" s="332" t="s">
        <v>28</v>
      </c>
      <c r="F155" s="333" t="s">
        <v>28</v>
      </c>
      <c r="G155" s="333" t="s">
        <v>28</v>
      </c>
      <c r="H155" s="334" t="s">
        <v>28</v>
      </c>
      <c r="I155" s="283" t="str">
        <f>IF(I96&gt;=I98,"OK","BŁĄD")</f>
        <v>OK</v>
      </c>
      <c r="J155" s="276" t="str">
        <f>IF(J96&gt;=J98,"OK","BŁĄD")</f>
        <v>OK</v>
      </c>
      <c r="K155" s="276" t="str">
        <f>IF(K96&gt;=K98,"OK","BŁĄD")</f>
        <v>OK</v>
      </c>
      <c r="L155" s="276" t="str">
        <f>IF(L96&gt;=L98,"OK","BŁĄD")</f>
        <v>OK</v>
      </c>
    </row>
    <row r="156" spans="2:12" outlineLevel="2">
      <c r="B156" s="298" t="s">
        <v>236</v>
      </c>
      <c r="C156" s="349" t="s">
        <v>236</v>
      </c>
      <c r="D156" s="64" t="s">
        <v>284</v>
      </c>
      <c r="E156" s="332" t="s">
        <v>28</v>
      </c>
      <c r="F156" s="333" t="s">
        <v>28</v>
      </c>
      <c r="G156" s="333" t="s">
        <v>28</v>
      </c>
      <c r="H156" s="334" t="s">
        <v>28</v>
      </c>
      <c r="I156" s="283" t="str">
        <f>IF(I99&gt;=I25,"OK","BŁĄD")</f>
        <v>OK</v>
      </c>
      <c r="J156" s="276" t="str">
        <f>IF(J99&gt;=J25,"OK","BŁĄD")</f>
        <v>OK</v>
      </c>
      <c r="K156" s="276" t="str">
        <f>IF(K99&gt;=K25,"OK","BŁĄD")</f>
        <v>OK</v>
      </c>
      <c r="L156" s="276" t="str">
        <f>IF(L99&gt;=L25,"OK","BŁĄD")</f>
        <v>OK</v>
      </c>
    </row>
    <row r="157" spans="2:12" outlineLevel="2">
      <c r="B157" s="298" t="s">
        <v>237</v>
      </c>
      <c r="C157" s="349" t="s">
        <v>237</v>
      </c>
      <c r="D157" s="64" t="s">
        <v>285</v>
      </c>
      <c r="E157" s="332" t="s">
        <v>28</v>
      </c>
      <c r="F157" s="333" t="s">
        <v>28</v>
      </c>
      <c r="G157" s="333" t="s">
        <v>28</v>
      </c>
      <c r="H157" s="334" t="s">
        <v>28</v>
      </c>
      <c r="I157" s="283" t="str">
        <f>IF(I106&gt;=(I107+I108+I109),"OK","BŁĄD")</f>
        <v>OK</v>
      </c>
      <c r="J157" s="276" t="str">
        <f>IF(J106&gt;=(J107+J108+J109),"OK","BŁĄD")</f>
        <v>OK</v>
      </c>
      <c r="K157" s="276" t="str">
        <f>IF(K106&gt;=(K107+K108+K109),"OK","BŁĄD")</f>
        <v>OK</v>
      </c>
      <c r="L157" s="276" t="str">
        <f>IF(L106&gt;=(L107+L108+L109),"OK","BŁĄD")</f>
        <v>OK</v>
      </c>
    </row>
    <row r="158" spans="2:12" outlineLevel="2">
      <c r="B158" s="298" t="s">
        <v>235</v>
      </c>
      <c r="C158" s="349" t="s">
        <v>235</v>
      </c>
      <c r="D158" s="64" t="s">
        <v>431</v>
      </c>
      <c r="E158" s="332" t="s">
        <v>28</v>
      </c>
      <c r="F158" s="333" t="s">
        <v>28</v>
      </c>
      <c r="G158" s="333" t="s">
        <v>28</v>
      </c>
      <c r="H158" s="334" t="s">
        <v>28</v>
      </c>
      <c r="I158" s="283" t="str">
        <f>IF(I112&gt;=I113,"OK","BŁĄD")</f>
        <v>OK</v>
      </c>
      <c r="J158" s="276" t="str">
        <f>IF(J112&gt;=J113,"OK","BŁĄD")</f>
        <v>OK</v>
      </c>
      <c r="K158" s="276" t="str">
        <f>IF(K112&gt;=K113,"OK","BŁĄD")</f>
        <v>OK</v>
      </c>
      <c r="L158" s="276" t="str">
        <f>IF(L112&gt;=L113,"OK","BŁĄD")</f>
        <v>OK</v>
      </c>
    </row>
    <row r="159" spans="2:12" outlineLevel="2">
      <c r="B159" s="298" t="s">
        <v>239</v>
      </c>
      <c r="C159" s="349" t="s">
        <v>239</v>
      </c>
      <c r="D159" s="64" t="s">
        <v>287</v>
      </c>
      <c r="E159" s="332" t="s">
        <v>28</v>
      </c>
      <c r="F159" s="333" t="s">
        <v>28</v>
      </c>
      <c r="G159" s="333" t="s">
        <v>28</v>
      </c>
      <c r="H159" s="334" t="s">
        <v>28</v>
      </c>
      <c r="I159" s="283" t="str">
        <f>IF(I23&gt;=I24,"OK","BŁĄD")</f>
        <v>OK</v>
      </c>
      <c r="J159" s="276" t="str">
        <f>IF(J23&gt;=J24,"OK","BŁĄD")</f>
        <v>OK</v>
      </c>
      <c r="K159" s="276" t="str">
        <f>IF(K23&gt;=K24,"OK","BŁĄD")</f>
        <v>OK</v>
      </c>
      <c r="L159" s="276" t="str">
        <f>IF(L23&gt;=L24,"OK","BŁĄD")</f>
        <v>OK</v>
      </c>
    </row>
    <row r="160" spans="2:12" outlineLevel="2">
      <c r="B160" s="298" t="s">
        <v>238</v>
      </c>
      <c r="C160" s="349" t="s">
        <v>238</v>
      </c>
      <c r="D160" s="64" t="s">
        <v>286</v>
      </c>
      <c r="E160" s="332" t="s">
        <v>28</v>
      </c>
      <c r="F160" s="333" t="s">
        <v>28</v>
      </c>
      <c r="G160" s="333" t="s">
        <v>28</v>
      </c>
      <c r="H160" s="334" t="s">
        <v>28</v>
      </c>
      <c r="I160" s="283" t="str">
        <f>IF(I23&gt;=I109,"OK","BŁĄD")</f>
        <v>OK</v>
      </c>
      <c r="J160" s="276" t="str">
        <f>IF(J23&gt;=J109,"OK","BŁĄD")</f>
        <v>OK</v>
      </c>
      <c r="K160" s="276" t="str">
        <f>IF(K23&gt;=K109,"OK","BŁĄD")</f>
        <v>OK</v>
      </c>
      <c r="L160" s="276" t="str">
        <f>IF(L23&gt;=L109,"OK","BŁĄD")</f>
        <v>OK</v>
      </c>
    </row>
    <row r="161" spans="2:12" outlineLevel="2">
      <c r="B161" s="298" t="s">
        <v>240</v>
      </c>
      <c r="C161" s="349" t="s">
        <v>240</v>
      </c>
      <c r="D161" s="64" t="s">
        <v>288</v>
      </c>
      <c r="E161" s="332" t="s">
        <v>28</v>
      </c>
      <c r="F161" s="333" t="s">
        <v>28</v>
      </c>
      <c r="G161" s="333" t="s">
        <v>28</v>
      </c>
      <c r="H161" s="334" t="s">
        <v>28</v>
      </c>
      <c r="I161" s="283" t="str">
        <f>IF(I26&gt;=I27,"OK","BŁĄD")</f>
        <v>OK</v>
      </c>
      <c r="J161" s="276" t="str">
        <f>IF(J26&gt;=J27,"OK","BŁĄD")</f>
        <v>OK</v>
      </c>
      <c r="K161" s="276" t="str">
        <f>IF(K26&gt;=K27,"OK","BŁĄD")</f>
        <v>OK</v>
      </c>
      <c r="L161" s="276" t="str">
        <f>IF(L26&gt;=L27,"OK","BŁĄD")</f>
        <v>OK</v>
      </c>
    </row>
    <row r="162" spans="2:12" outlineLevel="2">
      <c r="B162" s="298" t="s">
        <v>240</v>
      </c>
      <c r="C162" s="349" t="s">
        <v>240</v>
      </c>
      <c r="D162" s="64" t="s">
        <v>430</v>
      </c>
      <c r="E162" s="332" t="s">
        <v>28</v>
      </c>
      <c r="F162" s="333" t="s">
        <v>28</v>
      </c>
      <c r="G162" s="333" t="s">
        <v>28</v>
      </c>
      <c r="H162" s="334" t="s">
        <v>28</v>
      </c>
      <c r="I162" s="283" t="str">
        <f>IF(I27&gt;=(I28+I29),"OK","BŁĄD")</f>
        <v>OK</v>
      </c>
      <c r="J162" s="276" t="str">
        <f>IF(J27&gt;=J28,"OK","BŁĄD")</f>
        <v>OK</v>
      </c>
      <c r="K162" s="276" t="str">
        <f>IF(K27&gt;=K28,"OK","BŁĄD")</f>
        <v>OK</v>
      </c>
      <c r="L162" s="276" t="str">
        <f>IF(L27&gt;=L28,"OK","BŁĄD")</f>
        <v>OK</v>
      </c>
    </row>
    <row r="163" spans="2:12" outlineLevel="2">
      <c r="B163" s="298" t="s">
        <v>241</v>
      </c>
      <c r="C163" s="349" t="s">
        <v>241</v>
      </c>
      <c r="D163" s="64" t="s">
        <v>289</v>
      </c>
      <c r="E163" s="332" t="s">
        <v>28</v>
      </c>
      <c r="F163" s="333" t="s">
        <v>28</v>
      </c>
      <c r="G163" s="333" t="s">
        <v>28</v>
      </c>
      <c r="H163" s="334" t="s">
        <v>28</v>
      </c>
      <c r="I163" s="283" t="str">
        <f>IF(I22&gt;=(I23+I25+I26),"OK","BŁĄD")</f>
        <v>OK</v>
      </c>
      <c r="J163" s="276" t="str">
        <f>IF(J22&gt;=(J23+J25+J26),"OK","BŁĄD")</f>
        <v>OK</v>
      </c>
      <c r="K163" s="276" t="str">
        <f>IF(K22&gt;=(K23+K25+K26),"OK","BŁĄD")</f>
        <v>OK</v>
      </c>
      <c r="L163" s="276" t="str">
        <f>IF(L22&gt;=(L23+L25+L26),"OK","BŁĄD")</f>
        <v>OK</v>
      </c>
    </row>
    <row r="164" spans="2:12" outlineLevel="2">
      <c r="B164" s="298" t="s">
        <v>242</v>
      </c>
      <c r="C164" s="349" t="s">
        <v>242</v>
      </c>
      <c r="D164" s="64" t="s">
        <v>290</v>
      </c>
      <c r="E164" s="332" t="s">
        <v>28</v>
      </c>
      <c r="F164" s="333" t="s">
        <v>28</v>
      </c>
      <c r="G164" s="333" t="s">
        <v>28</v>
      </c>
      <c r="H164" s="334" t="s">
        <v>28</v>
      </c>
      <c r="I164" s="283" t="str">
        <f>IF(I22&gt;=I66,"OK","BŁĄD")</f>
        <v>OK</v>
      </c>
      <c r="J164" s="276" t="str">
        <f>IF(J22&gt;=J66,"OK","BŁĄD")</f>
        <v>OK</v>
      </c>
      <c r="K164" s="276" t="str">
        <f>IF(K22&gt;=K66,"OK","BŁĄD")</f>
        <v>OK</v>
      </c>
      <c r="L164" s="276" t="str">
        <f>IF(L22&gt;=L66,"OK","BŁĄD")</f>
        <v>OK</v>
      </c>
    </row>
    <row r="165" spans="2:12" outlineLevel="2">
      <c r="B165" s="298" t="s">
        <v>243</v>
      </c>
      <c r="C165" s="349" t="s">
        <v>243</v>
      </c>
      <c r="D165" s="64" t="s">
        <v>291</v>
      </c>
      <c r="E165" s="332" t="s">
        <v>28</v>
      </c>
      <c r="F165" s="333" t="s">
        <v>28</v>
      </c>
      <c r="G165" s="333" t="s">
        <v>28</v>
      </c>
      <c r="H165" s="334" t="s">
        <v>28</v>
      </c>
      <c r="I165" s="283" t="str">
        <f>IF(I22&gt;=I69,"OK","BŁĄD")</f>
        <v>OK</v>
      </c>
      <c r="J165" s="276" t="str">
        <f>IF(J22&gt;=J69,"OK","BŁĄD")</f>
        <v>OK</v>
      </c>
      <c r="K165" s="276" t="str">
        <f>IF(K22&gt;=K69,"OK","BŁĄD")</f>
        <v>OK</v>
      </c>
      <c r="L165" s="276" t="str">
        <f>IF(L22&gt;=L69,"OK","BŁĄD")</f>
        <v>OK</v>
      </c>
    </row>
    <row r="166" spans="2:12" outlineLevel="2">
      <c r="B166" s="298" t="s">
        <v>244</v>
      </c>
      <c r="C166" s="349" t="s">
        <v>244</v>
      </c>
      <c r="D166" s="64" t="s">
        <v>292</v>
      </c>
      <c r="E166" s="332" t="s">
        <v>28</v>
      </c>
      <c r="F166" s="333" t="s">
        <v>28</v>
      </c>
      <c r="G166" s="333" t="s">
        <v>28</v>
      </c>
      <c r="H166" s="334" t="s">
        <v>28</v>
      </c>
      <c r="I166" s="283" t="str">
        <f>IF(I22&gt;=I81,"OK","BŁĄD")</f>
        <v>OK</v>
      </c>
      <c r="J166" s="276" t="str">
        <f>IF(J22&gt;=J81,"OK","BŁĄD")</f>
        <v>OK</v>
      </c>
      <c r="K166" s="276" t="str">
        <f>IF(K22&gt;=K81,"OK","BŁĄD")</f>
        <v>OK</v>
      </c>
      <c r="L166" s="276" t="str">
        <f>IF(L22&gt;=L81,"OK","BŁĄD")</f>
        <v>OK</v>
      </c>
    </row>
    <row r="167" spans="2:12" outlineLevel="2">
      <c r="B167" s="298" t="s">
        <v>245</v>
      </c>
      <c r="C167" s="349" t="s">
        <v>245</v>
      </c>
      <c r="D167" s="64" t="s">
        <v>293</v>
      </c>
      <c r="E167" s="332" t="s">
        <v>28</v>
      </c>
      <c r="F167" s="333" t="s">
        <v>28</v>
      </c>
      <c r="G167" s="333" t="s">
        <v>28</v>
      </c>
      <c r="H167" s="334" t="s">
        <v>28</v>
      </c>
      <c r="I167" s="283" t="str">
        <f>IF(I22&gt;=I102,"OK","BŁĄD")</f>
        <v>OK</v>
      </c>
      <c r="J167" s="276" t="str">
        <f>IF(J22&gt;=J102,"OK","BŁĄD")</f>
        <v>OK</v>
      </c>
      <c r="K167" s="276" t="str">
        <f>IF(K22&gt;=K102,"OK","BŁĄD")</f>
        <v>OK</v>
      </c>
      <c r="L167" s="276" t="str">
        <f>IF(L22&gt;=L102,"OK","BŁĄD")</f>
        <v>OK</v>
      </c>
    </row>
    <row r="168" spans="2:12" outlineLevel="2">
      <c r="B168" s="298" t="s">
        <v>246</v>
      </c>
      <c r="C168" s="349" t="s">
        <v>246</v>
      </c>
      <c r="D168" s="64" t="s">
        <v>294</v>
      </c>
      <c r="E168" s="332" t="s">
        <v>28</v>
      </c>
      <c r="F168" s="333" t="s">
        <v>28</v>
      </c>
      <c r="G168" s="333" t="s">
        <v>28</v>
      </c>
      <c r="H168" s="334" t="s">
        <v>28</v>
      </c>
      <c r="I168" s="283" t="str">
        <f>IF(I30&gt;=I70,"OK","BŁĄD")</f>
        <v>OK</v>
      </c>
      <c r="J168" s="276" t="str">
        <f>IF(J30&gt;=J70,"OK","BŁĄD")</f>
        <v>OK</v>
      </c>
      <c r="K168" s="276" t="str">
        <f>IF(K30&gt;=K70,"OK","BŁĄD")</f>
        <v>OK</v>
      </c>
      <c r="L168" s="276" t="str">
        <f>IF(L30&gt;=L70,"OK","BŁĄD")</f>
        <v>OK</v>
      </c>
    </row>
    <row r="169" spans="2:12" outlineLevel="2">
      <c r="B169" s="298" t="s">
        <v>247</v>
      </c>
      <c r="C169" s="349" t="s">
        <v>247</v>
      </c>
      <c r="D169" s="64" t="s">
        <v>295</v>
      </c>
      <c r="E169" s="332" t="s">
        <v>28</v>
      </c>
      <c r="F169" s="333" t="s">
        <v>28</v>
      </c>
      <c r="G169" s="333" t="s">
        <v>28</v>
      </c>
      <c r="H169" s="334" t="s">
        <v>28</v>
      </c>
      <c r="I169" s="283" t="str">
        <f>IF(I30&gt;=I71+I72,"OK","BŁĄD")</f>
        <v>OK</v>
      </c>
      <c r="J169" s="276" t="str">
        <f>IF(J30&gt;=J71+J72,"OK","BŁĄD")</f>
        <v>OK</v>
      </c>
      <c r="K169" s="276" t="str">
        <f>IF(K30&gt;=K71+K72,"OK","BŁĄD")</f>
        <v>OK</v>
      </c>
      <c r="L169" s="276" t="str">
        <f>IF(L30&gt;=L71+L72,"OK","BŁĄD")</f>
        <v>OK</v>
      </c>
    </row>
    <row r="170" spans="2:12" outlineLevel="2">
      <c r="B170" s="298" t="s">
        <v>248</v>
      </c>
      <c r="C170" s="349" t="s">
        <v>248</v>
      </c>
      <c r="D170" s="64" t="s">
        <v>296</v>
      </c>
      <c r="E170" s="332" t="s">
        <v>28</v>
      </c>
      <c r="F170" s="333" t="s">
        <v>28</v>
      </c>
      <c r="G170" s="333" t="s">
        <v>28</v>
      </c>
      <c r="H170" s="334" t="s">
        <v>28</v>
      </c>
      <c r="I170" s="283" t="str">
        <f>IF(I30&gt;=I73,"OK","BŁĄD")</f>
        <v>OK</v>
      </c>
      <c r="J170" s="276" t="str">
        <f>IF(J30&gt;=J73,"OK","BŁĄD")</f>
        <v>OK</v>
      </c>
      <c r="K170" s="276" t="str">
        <f>IF(K30&gt;=K73,"OK","BŁĄD")</f>
        <v>OK</v>
      </c>
      <c r="L170" s="276" t="str">
        <f>IF(L30&gt;=L73,"OK","BŁĄD")</f>
        <v>OK</v>
      </c>
    </row>
    <row r="171" spans="2:12" outlineLevel="2">
      <c r="B171" s="298" t="s">
        <v>249</v>
      </c>
      <c r="C171" s="349" t="s">
        <v>249</v>
      </c>
      <c r="D171" s="64" t="s">
        <v>297</v>
      </c>
      <c r="E171" s="332" t="s">
        <v>28</v>
      </c>
      <c r="F171" s="333" t="s">
        <v>28</v>
      </c>
      <c r="G171" s="333" t="s">
        <v>28</v>
      </c>
      <c r="H171" s="334" t="s">
        <v>28</v>
      </c>
      <c r="I171" s="283" t="str">
        <f>IF(I30&gt;=I84,"OK","BŁĄD")</f>
        <v>OK</v>
      </c>
      <c r="J171" s="276" t="str">
        <f>IF(J30&gt;=J84,"OK","BŁĄD")</f>
        <v>OK</v>
      </c>
      <c r="K171" s="276" t="str">
        <f>IF(K30&gt;=K84,"OK","BŁĄD")</f>
        <v>OK</v>
      </c>
      <c r="L171" s="276" t="str">
        <f>IF(L30&gt;=L84,"OK","BŁĄD")</f>
        <v>OK</v>
      </c>
    </row>
    <row r="172" spans="2:12" outlineLevel="2">
      <c r="B172" s="298" t="s">
        <v>250</v>
      </c>
      <c r="C172" s="349" t="s">
        <v>250</v>
      </c>
      <c r="D172" s="64" t="s">
        <v>298</v>
      </c>
      <c r="E172" s="332" t="s">
        <v>28</v>
      </c>
      <c r="F172" s="333" t="s">
        <v>28</v>
      </c>
      <c r="G172" s="333" t="s">
        <v>28</v>
      </c>
      <c r="H172" s="334" t="s">
        <v>28</v>
      </c>
      <c r="I172" s="283" t="str">
        <f>IF(I33&gt;=I34,"OK","BŁĄD")</f>
        <v>OK</v>
      </c>
      <c r="J172" s="276" t="str">
        <f>IF(J33&gt;=J34,"OK","BŁĄD")</f>
        <v>OK</v>
      </c>
      <c r="K172" s="276" t="str">
        <f>IF(K33&gt;=K34,"OK","BŁĄD")</f>
        <v>OK</v>
      </c>
      <c r="L172" s="276" t="str">
        <f>IF(L33&gt;=L34,"OK","BŁĄD")</f>
        <v>OK</v>
      </c>
    </row>
    <row r="173" spans="2:12" outlineLevel="2">
      <c r="B173" s="298" t="s">
        <v>251</v>
      </c>
      <c r="C173" s="349" t="s">
        <v>251</v>
      </c>
      <c r="D173" s="64" t="s">
        <v>299</v>
      </c>
      <c r="E173" s="332" t="s">
        <v>28</v>
      </c>
      <c r="F173" s="333" t="s">
        <v>28</v>
      </c>
      <c r="G173" s="333" t="s">
        <v>28</v>
      </c>
      <c r="H173" s="334" t="s">
        <v>28</v>
      </c>
      <c r="I173" s="283" t="str">
        <f>IF(I35&gt;=I36,"OK","BŁĄD")</f>
        <v>OK</v>
      </c>
      <c r="J173" s="276" t="str">
        <f>IF(J35&gt;=J36,"OK","BŁĄD")</f>
        <v>OK</v>
      </c>
      <c r="K173" s="276" t="str">
        <f>IF(K35&gt;=K36,"OK","BŁĄD")</f>
        <v>OK</v>
      </c>
      <c r="L173" s="276" t="str">
        <f>IF(L35&gt;=L36,"OK","BŁĄD")</f>
        <v>OK</v>
      </c>
    </row>
    <row r="174" spans="2:12" outlineLevel="2">
      <c r="B174" s="298" t="s">
        <v>252</v>
      </c>
      <c r="C174" s="349" t="s">
        <v>252</v>
      </c>
      <c r="D174" s="64" t="s">
        <v>300</v>
      </c>
      <c r="E174" s="332" t="s">
        <v>28</v>
      </c>
      <c r="F174" s="333" t="s">
        <v>28</v>
      </c>
      <c r="G174" s="333" t="s">
        <v>28</v>
      </c>
      <c r="H174" s="334" t="s">
        <v>28</v>
      </c>
      <c r="I174" s="283" t="str">
        <f>IF(I37&gt;=I38,"OK","BŁĄD")</f>
        <v>OK</v>
      </c>
      <c r="J174" s="276" t="str">
        <f>IF(J37&gt;=J38,"OK","BŁĄD")</f>
        <v>OK</v>
      </c>
      <c r="K174" s="276" t="str">
        <f>IF(K37&gt;=K38,"OK","BŁĄD")</f>
        <v>OK</v>
      </c>
      <c r="L174" s="276" t="str">
        <f>IF(L37&gt;=L38,"OK","BŁĄD")</f>
        <v>OK</v>
      </c>
    </row>
    <row r="175" spans="2:12" outlineLevel="2">
      <c r="B175" s="298" t="s">
        <v>253</v>
      </c>
      <c r="C175" s="349" t="s">
        <v>253</v>
      </c>
      <c r="D175" s="64" t="s">
        <v>301</v>
      </c>
      <c r="E175" s="332" t="s">
        <v>28</v>
      </c>
      <c r="F175" s="333" t="s">
        <v>28</v>
      </c>
      <c r="G175" s="333" t="s">
        <v>28</v>
      </c>
      <c r="H175" s="334" t="s">
        <v>28</v>
      </c>
      <c r="I175" s="283" t="str">
        <f>IF(I39&gt;=I40,"OK","BŁĄD")</f>
        <v>OK</v>
      </c>
      <c r="J175" s="276" t="str">
        <f>IF(J39&gt;=J40,"OK","BŁĄD")</f>
        <v>OK</v>
      </c>
      <c r="K175" s="276" t="str">
        <f>IF(K39&gt;=K40,"OK","BŁĄD")</f>
        <v>OK</v>
      </c>
      <c r="L175" s="276" t="str">
        <f>IF(L39&gt;=L40,"OK","BŁĄD")</f>
        <v>OK</v>
      </c>
    </row>
    <row r="176" spans="2:12" outlineLevel="2">
      <c r="B176" s="298" t="s">
        <v>256</v>
      </c>
      <c r="C176" s="349" t="s">
        <v>256</v>
      </c>
      <c r="D176" s="64" t="s">
        <v>304</v>
      </c>
      <c r="E176" s="332" t="s">
        <v>28</v>
      </c>
      <c r="F176" s="333" t="s">
        <v>28</v>
      </c>
      <c r="G176" s="333" t="s">
        <v>28</v>
      </c>
      <c r="H176" s="334" t="s">
        <v>28</v>
      </c>
      <c r="I176" s="283" t="str">
        <f>IF(I42&gt;=I43,"OK","BŁĄD")</f>
        <v>OK</v>
      </c>
      <c r="J176" s="276" t="str">
        <f>IF(J42&gt;=J43,"OK","BŁĄD")</f>
        <v>OK</v>
      </c>
      <c r="K176" s="276" t="str">
        <f>IF(K42&gt;=K43,"OK","BŁĄD")</f>
        <v>OK</v>
      </c>
      <c r="L176" s="276" t="str">
        <f>IF(L42&gt;=L43,"OK","BŁĄD")</f>
        <v>OK</v>
      </c>
    </row>
    <row r="177" spans="2:12" outlineLevel="2">
      <c r="B177" s="298" t="s">
        <v>254</v>
      </c>
      <c r="C177" s="349" t="s">
        <v>254</v>
      </c>
      <c r="D177" s="64" t="s">
        <v>302</v>
      </c>
      <c r="E177" s="332" t="s">
        <v>28</v>
      </c>
      <c r="F177" s="333" t="s">
        <v>28</v>
      </c>
      <c r="G177" s="333" t="s">
        <v>28</v>
      </c>
      <c r="H177" s="334" t="s">
        <v>28</v>
      </c>
      <c r="I177" s="283" t="str">
        <f>IF(I42&gt;=I64,"OK","BŁĄD")</f>
        <v>OK</v>
      </c>
      <c r="J177" s="276" t="str">
        <f>IF(J42&gt;=J64,"OK","BŁĄD")</f>
        <v>OK</v>
      </c>
      <c r="K177" s="276" t="str">
        <f>IF(K42&gt;=K64,"OK","BŁĄD")</f>
        <v>OK</v>
      </c>
      <c r="L177" s="276" t="str">
        <f>IF(L42&gt;=L64,"OK","BŁĄD")</f>
        <v>OK</v>
      </c>
    </row>
    <row r="178" spans="2:12" outlineLevel="2">
      <c r="B178" s="298" t="s">
        <v>255</v>
      </c>
      <c r="C178" s="349" t="s">
        <v>255</v>
      </c>
      <c r="D178" s="64" t="s">
        <v>303</v>
      </c>
      <c r="E178" s="332" t="s">
        <v>28</v>
      </c>
      <c r="F178" s="333" t="s">
        <v>28</v>
      </c>
      <c r="G178" s="333" t="s">
        <v>28</v>
      </c>
      <c r="H178" s="334" t="s">
        <v>28</v>
      </c>
      <c r="I178" s="283" t="str">
        <f>IF(I42&gt;=I104,"OK","BŁĄD")</f>
        <v>OK</v>
      </c>
      <c r="J178" s="276" t="str">
        <f>IF(J42&gt;=J104,"OK","BŁĄD")</f>
        <v>OK</v>
      </c>
      <c r="K178" s="276" t="str">
        <f>IF(K42&gt;=K104,"OK","BŁĄD")</f>
        <v>OK</v>
      </c>
      <c r="L178" s="276" t="str">
        <f>IF(L42&gt;=L104,"OK","BŁĄD")</f>
        <v>OK</v>
      </c>
    </row>
    <row r="179" spans="2:12" outlineLevel="2">
      <c r="B179" s="298" t="s">
        <v>258</v>
      </c>
      <c r="C179" s="349" t="s">
        <v>258</v>
      </c>
      <c r="D179" s="64" t="s">
        <v>306</v>
      </c>
      <c r="E179" s="332" t="s">
        <v>28</v>
      </c>
      <c r="F179" s="333" t="s">
        <v>28</v>
      </c>
      <c r="G179" s="333" t="s">
        <v>28</v>
      </c>
      <c r="H179" s="334" t="s">
        <v>28</v>
      </c>
      <c r="I179" s="283" t="str">
        <f>IF(I48&gt;=I49,"OK","BŁĄD")</f>
        <v>OK</v>
      </c>
      <c r="J179" s="276" t="str">
        <f>IF(J48&gt;=J49,"OK","BŁĄD")</f>
        <v>OK</v>
      </c>
      <c r="K179" s="276" t="str">
        <f>IF(K48&gt;=K49,"OK","BŁĄD")</f>
        <v>OK</v>
      </c>
      <c r="L179" s="276" t="str">
        <f>IF(L48&gt;=L49,"OK","BŁĄD")</f>
        <v>OK</v>
      </c>
    </row>
    <row r="180" spans="2:12" outlineLevel="2">
      <c r="B180" s="298" t="s">
        <v>257</v>
      </c>
      <c r="C180" s="349" t="s">
        <v>257</v>
      </c>
      <c r="D180" s="64" t="s">
        <v>305</v>
      </c>
      <c r="E180" s="332" t="s">
        <v>28</v>
      </c>
      <c r="F180" s="333" t="s">
        <v>28</v>
      </c>
      <c r="G180" s="333" t="s">
        <v>28</v>
      </c>
      <c r="H180" s="334" t="s">
        <v>28</v>
      </c>
      <c r="I180" s="283" t="str">
        <f>IF(I48&gt;=I105,"OK","BŁĄD")</f>
        <v>OK</v>
      </c>
      <c r="J180" s="276" t="str">
        <f>IF(J48&gt;=J105,"OK","BŁĄD")</f>
        <v>OK</v>
      </c>
      <c r="K180" s="276" t="str">
        <f>IF(K48&gt;=K105,"OK","BŁĄD")</f>
        <v>OK</v>
      </c>
      <c r="L180" s="276" t="str">
        <f>IF(L48&gt;=L105,"OK","BŁĄD")</f>
        <v>OK</v>
      </c>
    </row>
    <row r="181" spans="2:12" outlineLevel="2">
      <c r="B181" s="298" t="s">
        <v>259</v>
      </c>
      <c r="C181" s="349" t="s">
        <v>259</v>
      </c>
      <c r="D181" s="64" t="s">
        <v>307</v>
      </c>
      <c r="E181" s="332" t="s">
        <v>28</v>
      </c>
      <c r="F181" s="333" t="s">
        <v>28</v>
      </c>
      <c r="G181" s="333" t="s">
        <v>28</v>
      </c>
      <c r="H181" s="334" t="s">
        <v>28</v>
      </c>
      <c r="I181" s="283" t="str">
        <f>IF(I49&gt;=I96,"OK","BŁĄD")</f>
        <v>OK</v>
      </c>
      <c r="J181" s="276" t="str">
        <f>IF(J49&gt;=J96,"OK","BŁĄD")</f>
        <v>OK</v>
      </c>
      <c r="K181" s="276" t="str">
        <f>IF(K49&gt;=K96,"OK","BŁĄD")</f>
        <v>OK</v>
      </c>
      <c r="L181" s="276" t="str">
        <f>IF(L49&gt;=L96,"OK","BŁĄD")</f>
        <v>OK</v>
      </c>
    </row>
    <row r="182" spans="2:12" outlineLevel="2">
      <c r="B182" s="299" t="s">
        <v>260</v>
      </c>
      <c r="C182" s="304" t="s">
        <v>260</v>
      </c>
      <c r="D182" s="65" t="s">
        <v>308</v>
      </c>
      <c r="E182" s="336" t="s">
        <v>28</v>
      </c>
      <c r="F182" s="337" t="s">
        <v>28</v>
      </c>
      <c r="G182" s="337" t="s">
        <v>28</v>
      </c>
      <c r="H182" s="338" t="s">
        <v>28</v>
      </c>
      <c r="I182" s="284" t="str">
        <f>IF(I26&lt;&gt;0,IF(I27&lt;&gt;0,"OK","BŁĄD"),"N/D")</f>
        <v>OK</v>
      </c>
      <c r="J182" s="280" t="str">
        <f>IF(J26&lt;&gt;0,IF(J27&lt;&gt;0,"OK","BŁĄD"),"N/D")</f>
        <v>N/D</v>
      </c>
      <c r="K182" s="280" t="str">
        <f>IF(K26&lt;&gt;0,IF(K27&lt;&gt;0,"OK","BŁĄD"),"N/D")</f>
        <v>N/D</v>
      </c>
      <c r="L182" s="280" t="str">
        <f>IF(L26&lt;&gt;0,IF(L27&lt;&gt;0,"OK","BŁĄD"),"N/D")</f>
        <v>N/D</v>
      </c>
    </row>
    <row r="183" spans="2:12" outlineLevel="2">
      <c r="B183" s="60"/>
      <c r="C183" s="60"/>
      <c r="D183" s="60"/>
      <c r="E183" s="16"/>
      <c r="F183" s="16"/>
      <c r="G183" s="16"/>
      <c r="H183" s="16"/>
      <c r="I183" s="15"/>
      <c r="J183" s="15"/>
      <c r="K183" s="15"/>
      <c r="L183" s="15"/>
    </row>
    <row r="184" spans="2:12" outlineLevel="1">
      <c r="B184" s="60"/>
      <c r="C184" s="60"/>
      <c r="D184" s="248" t="s">
        <v>339</v>
      </c>
      <c r="E184" s="16"/>
      <c r="F184" s="16"/>
      <c r="G184" s="16"/>
      <c r="H184" s="16"/>
      <c r="I184" s="15"/>
      <c r="J184" s="15"/>
      <c r="K184" s="15"/>
      <c r="L184" s="15"/>
    </row>
    <row r="185" spans="2:12" ht="15" outlineLevel="2">
      <c r="B185" s="128"/>
      <c r="C185" s="368"/>
      <c r="D185" s="129" t="s">
        <v>29</v>
      </c>
      <c r="E185" s="177">
        <f t="shared" ref="E185:L185" si="3">E11+E18</f>
        <v>11735693.559999999</v>
      </c>
      <c r="F185" s="178">
        <f t="shared" si="3"/>
        <v>14062028.149999999</v>
      </c>
      <c r="G185" s="178">
        <f t="shared" si="3"/>
        <v>13471394.42</v>
      </c>
      <c r="H185" s="179">
        <f t="shared" si="3"/>
        <v>12708280.6</v>
      </c>
      <c r="I185" s="130">
        <f t="shared" si="3"/>
        <v>14088173.67</v>
      </c>
      <c r="J185" s="131">
        <f t="shared" si="3"/>
        <v>10825000</v>
      </c>
      <c r="K185" s="131">
        <f t="shared" si="3"/>
        <v>12050000</v>
      </c>
      <c r="L185" s="131">
        <f t="shared" si="3"/>
        <v>12170000</v>
      </c>
    </row>
    <row r="186" spans="2:12" ht="15" outlineLevel="2">
      <c r="B186" s="128"/>
      <c r="C186" s="368"/>
      <c r="D186" s="133" t="s">
        <v>30</v>
      </c>
      <c r="E186" s="180">
        <f t="shared" ref="E186:L186" si="4">E22+E30</f>
        <v>12835915.98</v>
      </c>
      <c r="F186" s="181">
        <f t="shared" si="4"/>
        <v>11481546.43</v>
      </c>
      <c r="G186" s="181">
        <f t="shared" si="4"/>
        <v>14584700.699999999</v>
      </c>
      <c r="H186" s="182">
        <f t="shared" si="4"/>
        <v>13777530.739999998</v>
      </c>
      <c r="I186" s="134">
        <f t="shared" si="4"/>
        <v>14058548.48</v>
      </c>
      <c r="J186" s="135">
        <f t="shared" si="4"/>
        <v>10825000</v>
      </c>
      <c r="K186" s="135">
        <f t="shared" si="4"/>
        <v>12050000</v>
      </c>
      <c r="L186" s="135">
        <f t="shared" si="4"/>
        <v>12170000</v>
      </c>
    </row>
    <row r="187" spans="2:12" ht="15" outlineLevel="2">
      <c r="B187" s="128"/>
      <c r="C187" s="368"/>
      <c r="D187" s="133" t="s">
        <v>312</v>
      </c>
      <c r="E187" s="180">
        <f t="shared" ref="E187:L187" si="5">E10-E21</f>
        <v>-1100222.42</v>
      </c>
      <c r="F187" s="181">
        <f t="shared" si="5"/>
        <v>2580481.7200000007</v>
      </c>
      <c r="G187" s="181">
        <f t="shared" si="5"/>
        <v>-1113306.2799999993</v>
      </c>
      <c r="H187" s="182">
        <f t="shared" si="5"/>
        <v>-1069250.1400000006</v>
      </c>
      <c r="I187" s="134">
        <f t="shared" si="5"/>
        <v>29625.189999999478</v>
      </c>
      <c r="J187" s="135">
        <f t="shared" si="5"/>
        <v>0</v>
      </c>
      <c r="K187" s="135">
        <f t="shared" si="5"/>
        <v>0</v>
      </c>
      <c r="L187" s="135">
        <f t="shared" si="5"/>
        <v>0</v>
      </c>
    </row>
    <row r="188" spans="2:12" ht="15" outlineLevel="2">
      <c r="B188" s="128"/>
      <c r="C188" s="368"/>
      <c r="D188" s="137" t="s">
        <v>313</v>
      </c>
      <c r="E188" s="308" t="s">
        <v>28</v>
      </c>
      <c r="F188" s="181">
        <f>E48+F37-F42+(F105-E105)+F110</f>
        <v>1422477.65</v>
      </c>
      <c r="G188" s="339" t="s">
        <v>28</v>
      </c>
      <c r="H188" s="182">
        <f>F48+H37-H42+(H105-F105)+H110</f>
        <v>773956.19</v>
      </c>
      <c r="I188" s="134">
        <f>H48+I37-I42+(I105-H105)+I110</f>
        <v>0</v>
      </c>
      <c r="J188" s="135">
        <f>I48+J37-J42+(J105-I105)+J110</f>
        <v>0</v>
      </c>
      <c r="K188" s="135">
        <f>J48+K37-K42+(K105-J105)+K110</f>
        <v>0</v>
      </c>
      <c r="L188" s="135">
        <f>K48+L37-L42+(L105-K105)+L110</f>
        <v>0</v>
      </c>
    </row>
    <row r="189" spans="2:12" ht="24" outlineLevel="2">
      <c r="B189" s="128"/>
      <c r="C189" s="368"/>
      <c r="D189" s="138" t="s">
        <v>343</v>
      </c>
      <c r="E189" s="275" t="s">
        <v>28</v>
      </c>
      <c r="F189" s="183">
        <f>E96-(F98+F99+F100+F101)</f>
        <v>0</v>
      </c>
      <c r="G189" s="340" t="s">
        <v>28</v>
      </c>
      <c r="H189" s="184">
        <f>F96-(H98+H99+H100+H101)</f>
        <v>0</v>
      </c>
      <c r="I189" s="139">
        <f>H96-(I98+I99+I100+I101)</f>
        <v>0</v>
      </c>
      <c r="J189" s="140">
        <f>I96-(J98+J99+J100+J101)</f>
        <v>0</v>
      </c>
      <c r="K189" s="140">
        <f>J96-(K98+K99+K100+K101)</f>
        <v>0</v>
      </c>
      <c r="L189" s="140">
        <f>K96-(L98+L99+L100+L101)</f>
        <v>0</v>
      </c>
    </row>
    <row r="190" spans="2:12">
      <c r="E190" s="6"/>
      <c r="F190" s="6"/>
      <c r="G190" s="6"/>
      <c r="H190" s="6"/>
    </row>
    <row r="191" spans="2:12" ht="15.75">
      <c r="D191" s="245" t="s">
        <v>32</v>
      </c>
      <c r="E191" s="55"/>
      <c r="F191" s="55"/>
      <c r="G191" s="55"/>
      <c r="H191" s="55"/>
    </row>
    <row r="192" spans="2:12" outlineLevel="1">
      <c r="D192" s="246" t="s">
        <v>37</v>
      </c>
      <c r="E192" s="56"/>
      <c r="F192" s="56"/>
      <c r="G192" s="56"/>
      <c r="H192" s="56"/>
    </row>
    <row r="193" spans="2:12" outlineLevel="2">
      <c r="D193" s="22">
        <v>0</v>
      </c>
      <c r="E193" s="25" t="str">
        <f>+"różnica mniejsza od "&amp;TEXT(D193*100,"0,0")&amp;"%"</f>
        <v>różnica mniejsza od 0,0%</v>
      </c>
      <c r="F193" s="57"/>
      <c r="G193" s="57"/>
      <c r="H193" s="57"/>
      <c r="I193"/>
      <c r="J193" s="2"/>
      <c r="K193" s="2"/>
      <c r="L193" s="2"/>
    </row>
    <row r="194" spans="2:12" outlineLevel="2">
      <c r="D194" s="23">
        <v>5.0000000000000001E-3</v>
      </c>
      <c r="E194" s="25" t="str">
        <f>+"różnica mniejsza od "&amp;TEXT(D194*100,"0,0")&amp;"%"</f>
        <v>różnica mniejsza od 0,5%</v>
      </c>
      <c r="F194" s="57"/>
      <c r="G194" s="57"/>
      <c r="H194" s="57"/>
      <c r="I194"/>
      <c r="J194" s="2"/>
      <c r="K194" s="2"/>
      <c r="L194" s="2"/>
    </row>
    <row r="195" spans="2:12" outlineLevel="2">
      <c r="D195" s="24">
        <v>0.01</v>
      </c>
      <c r="E195" s="25" t="str">
        <f>+"różnica mniejsza od "&amp;TEXT(D195*100,"0,0")&amp;"%"</f>
        <v>różnica mniejsza od 1,0%</v>
      </c>
      <c r="F195" s="57"/>
      <c r="G195" s="57"/>
      <c r="H195" s="57"/>
      <c r="I195"/>
      <c r="J195" s="2"/>
      <c r="K195" s="2"/>
      <c r="L195" s="2"/>
    </row>
    <row r="196" spans="2:12" outlineLevel="2">
      <c r="D196" s="232" t="s">
        <v>329</v>
      </c>
      <c r="E196" s="312" t="s">
        <v>28</v>
      </c>
      <c r="F196" s="313" t="s">
        <v>28</v>
      </c>
      <c r="G196" s="313" t="s">
        <v>28</v>
      </c>
      <c r="H196" s="314" t="s">
        <v>28</v>
      </c>
      <c r="I196" s="233">
        <f>+IF(I10=0,"",I59-I54)</f>
        <v>0.13250000000000001</v>
      </c>
      <c r="J196" s="234">
        <f>+IF(J10=0,"",J59-J54)</f>
        <v>0.21790000000000001</v>
      </c>
      <c r="K196" s="234">
        <f>+IF(K10=0,"",K59-K54)</f>
        <v>0.1827</v>
      </c>
      <c r="L196" s="234">
        <f>+IF(L10=0,"",L59-L54)</f>
        <v>0.18679999999999999</v>
      </c>
    </row>
    <row r="197" spans="2:12" outlineLevel="2">
      <c r="D197" s="236" t="s">
        <v>330</v>
      </c>
      <c r="E197" s="315" t="s">
        <v>28</v>
      </c>
      <c r="F197" s="316" t="s">
        <v>28</v>
      </c>
      <c r="G197" s="316" t="s">
        <v>28</v>
      </c>
      <c r="H197" s="317" t="s">
        <v>28</v>
      </c>
      <c r="I197" s="237">
        <f>+IF(I10=0,"",I59-I55)</f>
        <v>0.13250000000000001</v>
      </c>
      <c r="J197" s="238">
        <f>+IF(J10=0,"",J59-J55)</f>
        <v>0.21790000000000001</v>
      </c>
      <c r="K197" s="238">
        <f>+IF(K10=0,"",K59-K55)</f>
        <v>0.1827</v>
      </c>
      <c r="L197" s="238">
        <f>+IF(L10=0,"",L59-L55)</f>
        <v>0.18679999999999999</v>
      </c>
    </row>
    <row r="198" spans="2:12" outlineLevel="2">
      <c r="D198" s="232" t="s">
        <v>331</v>
      </c>
      <c r="E198" s="312" t="s">
        <v>28</v>
      </c>
      <c r="F198" s="313" t="s">
        <v>28</v>
      </c>
      <c r="G198" s="313" t="s">
        <v>28</v>
      </c>
      <c r="H198" s="314" t="s">
        <v>28</v>
      </c>
      <c r="I198" s="233">
        <f>+IF(I10=0,"",I60-I54)</f>
        <v>0.1303</v>
      </c>
      <c r="J198" s="234">
        <f>+IF(J10=0,"",J60-J54)</f>
        <v>0.2157</v>
      </c>
      <c r="K198" s="234">
        <f>+IF(K10=0,"",K60-K54)</f>
        <v>0.18049999999999999</v>
      </c>
      <c r="L198" s="234">
        <f>+IF(L10=0,"",L60-L54)</f>
        <v>0.18679999999999999</v>
      </c>
    </row>
    <row r="199" spans="2:12" outlineLevel="2">
      <c r="D199" s="236" t="s">
        <v>332</v>
      </c>
      <c r="E199" s="315" t="s">
        <v>28</v>
      </c>
      <c r="F199" s="316" t="s">
        <v>28</v>
      </c>
      <c r="G199" s="316" t="s">
        <v>28</v>
      </c>
      <c r="H199" s="317" t="s">
        <v>28</v>
      </c>
      <c r="I199" s="237">
        <f>+IF(I10=0,"",I60-I55)</f>
        <v>0.1303</v>
      </c>
      <c r="J199" s="238">
        <f>+IF(J10=0,"",J60-J55)</f>
        <v>0.2157</v>
      </c>
      <c r="K199" s="238">
        <f>+IF(K10=0,"",K60-K55)</f>
        <v>0.18049999999999999</v>
      </c>
      <c r="L199" s="238">
        <f>+IF(L10=0,"",L60-L55)</f>
        <v>0.18679999999999999</v>
      </c>
    </row>
    <row r="200" spans="2:12" outlineLevel="1">
      <c r="D200" s="246" t="s">
        <v>336</v>
      </c>
      <c r="E200" s="56"/>
      <c r="F200" s="56"/>
      <c r="G200" s="56"/>
      <c r="H200" s="56"/>
      <c r="I200" s="2"/>
      <c r="J200" s="2"/>
      <c r="K200" s="2"/>
      <c r="L200" s="2"/>
    </row>
    <row r="201" spans="2:12" outlineLevel="2">
      <c r="D201" s="19">
        <v>0.05</v>
      </c>
      <c r="E201" s="25" t="str">
        <f>+"zmiana większa niż +/- "&amp;TEXT(D201*100,"0,0")&amp;"%"</f>
        <v>zmiana większa niż +/- 5,0%</v>
      </c>
      <c r="F201" s="58"/>
      <c r="G201" s="58"/>
      <c r="H201" s="58"/>
      <c r="J201" s="2"/>
      <c r="K201" s="2"/>
      <c r="L201" s="2"/>
    </row>
    <row r="202" spans="2:12" outlineLevel="2">
      <c r="D202" s="20">
        <v>0.1</v>
      </c>
      <c r="E202" s="25" t="str">
        <f>+"zmiana większa niż +/- "&amp;TEXT(D202*100,"0,0")&amp;"%"</f>
        <v>zmiana większa niż +/- 10,0%</v>
      </c>
      <c r="F202" s="58"/>
      <c r="G202" s="58"/>
      <c r="H202" s="58"/>
      <c r="J202" s="2"/>
      <c r="K202" s="2"/>
      <c r="L202" s="2"/>
    </row>
    <row r="203" spans="2:12" ht="24" outlineLevel="2">
      <c r="D203" s="21">
        <v>0.2</v>
      </c>
      <c r="E203" s="25" t="str">
        <f>+"zmiana większa niż +/- "&amp;TEXT(D203*100,"0,0")&amp;"%"</f>
        <v>zmiana większa niż +/- 20,0%</v>
      </c>
      <c r="F203" s="58"/>
      <c r="G203" s="343" t="s">
        <v>352</v>
      </c>
      <c r="H203" s="343" t="s">
        <v>351</v>
      </c>
      <c r="J203" s="2"/>
      <c r="K203" s="2"/>
      <c r="L203" s="2"/>
    </row>
    <row r="204" spans="2:12" outlineLevel="2">
      <c r="B204" s="218"/>
      <c r="C204" s="369"/>
      <c r="D204" s="143" t="s">
        <v>24</v>
      </c>
      <c r="E204" s="318" t="s">
        <v>328</v>
      </c>
      <c r="F204" s="144">
        <f t="shared" ref="F204:L204" si="6">+IF(F10=0,0,IF(E230&lt;&gt;0,F230/E230-1,0))</f>
        <v>0.19822727801355433</v>
      </c>
      <c r="G204" s="144">
        <f t="shared" si="6"/>
        <v>-4.2002030126785161E-2</v>
      </c>
      <c r="H204" s="145">
        <f t="shared" si="6"/>
        <v>-5.6646980721391405E-2</v>
      </c>
      <c r="I204" s="219">
        <f t="shared" si="6"/>
        <v>0.10858220033322219</v>
      </c>
      <c r="J204" s="220">
        <f t="shared" si="6"/>
        <v>-0.23162503149352498</v>
      </c>
      <c r="K204" s="220">
        <f t="shared" si="6"/>
        <v>0.1131639722863742</v>
      </c>
      <c r="L204" s="220">
        <f t="shared" si="6"/>
        <v>9.9585062240663547E-3</v>
      </c>
    </row>
    <row r="205" spans="2:12" outlineLevel="2">
      <c r="B205" s="142"/>
      <c r="C205" s="370"/>
      <c r="D205" s="146" t="s">
        <v>316</v>
      </c>
      <c r="E205" s="319" t="s">
        <v>328</v>
      </c>
      <c r="F205" s="185">
        <f t="shared" ref="F205:L205" si="7">+IF(F10=0,0,IF(E231&lt;&gt;0,F231/E231-1,0))</f>
        <v>0.21523499773174048</v>
      </c>
      <c r="G205" s="185">
        <f t="shared" si="7"/>
        <v>5.5606662871960921E-3</v>
      </c>
      <c r="H205" s="186">
        <f t="shared" si="7"/>
        <v>-6.3050789088112347E-2</v>
      </c>
      <c r="I205" s="147">
        <f t="shared" si="7"/>
        <v>-3.9351475584371354E-2</v>
      </c>
      <c r="J205" s="148">
        <f t="shared" si="7"/>
        <v>-7.0603005648415595E-2</v>
      </c>
      <c r="K205" s="148">
        <f t="shared" si="7"/>
        <v>0.1131639722863742</v>
      </c>
      <c r="L205" s="148">
        <f t="shared" si="7"/>
        <v>9.9585062240663547E-3</v>
      </c>
    </row>
    <row r="206" spans="2:12" outlineLevel="2">
      <c r="B206" s="142"/>
      <c r="C206" s="370"/>
      <c r="D206" s="150" t="s">
        <v>317</v>
      </c>
      <c r="E206" s="320" t="s">
        <v>328</v>
      </c>
      <c r="F206" s="187">
        <f t="shared" ref="F206:L206" si="8">+IF(F10=0,0,IF(E232&lt;&gt;0,F232/E232-1,0))</f>
        <v>0.23777705650792025</v>
      </c>
      <c r="G206" s="187">
        <f t="shared" si="8"/>
        <v>-1.0118064235595359E-2</v>
      </c>
      <c r="H206" s="188">
        <f t="shared" si="8"/>
        <v>-3.9784069118105281E-2</v>
      </c>
      <c r="I206" s="147">
        <f t="shared" si="8"/>
        <v>-3.5054407386296949E-2</v>
      </c>
      <c r="J206" s="148">
        <f t="shared" si="8"/>
        <v>-5.4323914981929122E-2</v>
      </c>
      <c r="K206" s="148">
        <f t="shared" si="8"/>
        <v>0.1131639722863742</v>
      </c>
      <c r="L206" s="148">
        <f t="shared" si="8"/>
        <v>9.9585062240663547E-3</v>
      </c>
    </row>
    <row r="207" spans="2:12" outlineLevel="2">
      <c r="B207" s="142"/>
      <c r="C207" s="370"/>
      <c r="D207" s="150" t="s">
        <v>318</v>
      </c>
      <c r="E207" s="320" t="s">
        <v>328</v>
      </c>
      <c r="F207" s="187">
        <f t="shared" ref="F207:L207" si="9">+IF(F10=0,0,IF(E233&lt;&gt;0,F233/E233-1,0))</f>
        <v>-0.23343015464939587</v>
      </c>
      <c r="G207" s="187">
        <f t="shared" si="9"/>
        <v>0.50944441802136131</v>
      </c>
      <c r="H207" s="188">
        <f t="shared" si="9"/>
        <v>-0.55341740364668623</v>
      </c>
      <c r="I207" s="147">
        <f t="shared" si="9"/>
        <v>-0.23407799034288879</v>
      </c>
      <c r="J207" s="148">
        <f t="shared" si="9"/>
        <v>-1</v>
      </c>
      <c r="K207" s="148">
        <f t="shared" si="9"/>
        <v>0</v>
      </c>
      <c r="L207" s="148">
        <f t="shared" si="9"/>
        <v>0</v>
      </c>
    </row>
    <row r="208" spans="2:12" ht="24" outlineLevel="2">
      <c r="B208" s="142"/>
      <c r="C208" s="370"/>
      <c r="D208" s="150" t="s">
        <v>319</v>
      </c>
      <c r="E208" s="320" t="s">
        <v>328</v>
      </c>
      <c r="F208" s="187">
        <f t="shared" ref="F208:L208" si="10">+IF(F10=0,0,IF(E234&lt;&gt;0,F234/E234-1,0))</f>
        <v>-0.1278339251570606</v>
      </c>
      <c r="G208" s="187">
        <f t="shared" si="10"/>
        <v>-0.19769495772001278</v>
      </c>
      <c r="H208" s="188">
        <f t="shared" si="10"/>
        <v>-2.3421397789017417E-3</v>
      </c>
      <c r="I208" s="147">
        <f t="shared" si="10"/>
        <v>-0.99804363477008795</v>
      </c>
      <c r="J208" s="148">
        <f t="shared" si="10"/>
        <v>-1</v>
      </c>
      <c r="K208" s="148">
        <f t="shared" si="10"/>
        <v>0</v>
      </c>
      <c r="L208" s="148">
        <f t="shared" si="10"/>
        <v>0</v>
      </c>
    </row>
    <row r="209" spans="2:12" outlineLevel="2">
      <c r="B209" s="142"/>
      <c r="C209" s="370"/>
      <c r="D209" s="151" t="s">
        <v>33</v>
      </c>
      <c r="E209" s="321" t="s">
        <v>328</v>
      </c>
      <c r="F209" s="189">
        <f t="shared" ref="F209:L209" si="11">+IF(F10=0,0,IF(E235&lt;&gt;0,F235/E235-1,0))</f>
        <v>-0.50859533988137051</v>
      </c>
      <c r="G209" s="189">
        <f t="shared" si="11"/>
        <v>3.7799132402293143</v>
      </c>
      <c r="H209" s="190">
        <f t="shared" si="11"/>
        <v>-0.9812121212121212</v>
      </c>
      <c r="I209" s="152">
        <f t="shared" si="11"/>
        <v>31.258064516129032</v>
      </c>
      <c r="J209" s="153">
        <f t="shared" si="11"/>
        <v>-1</v>
      </c>
      <c r="K209" s="153">
        <f t="shared" si="11"/>
        <v>0</v>
      </c>
      <c r="L209" s="153">
        <f t="shared" si="11"/>
        <v>0</v>
      </c>
    </row>
    <row r="210" spans="2:12" outlineLevel="2">
      <c r="B210" s="218"/>
      <c r="C210" s="369"/>
      <c r="D210" s="143" t="s">
        <v>19</v>
      </c>
      <c r="E210" s="318" t="s">
        <v>328</v>
      </c>
      <c r="F210" s="144">
        <f t="shared" ref="F210:L210" si="12">+IF(F10=0,0,IF(E236&lt;&gt;0,F236/E236-1,0))</f>
        <v>-0.10551405541375325</v>
      </c>
      <c r="G210" s="144">
        <f t="shared" si="12"/>
        <v>0.27027319785876602</v>
      </c>
      <c r="H210" s="145">
        <f t="shared" si="12"/>
        <v>-5.5343608113946341E-2</v>
      </c>
      <c r="I210" s="219">
        <f t="shared" si="12"/>
        <v>2.0396814589143109E-2</v>
      </c>
      <c r="J210" s="220">
        <f t="shared" si="12"/>
        <v>-0.23000585619490643</v>
      </c>
      <c r="K210" s="220">
        <f t="shared" si="12"/>
        <v>0.1131639722863742</v>
      </c>
      <c r="L210" s="220">
        <f t="shared" si="12"/>
        <v>9.9585062240663547E-3</v>
      </c>
    </row>
    <row r="211" spans="2:12" outlineLevel="2">
      <c r="B211" s="142"/>
      <c r="C211" s="370"/>
      <c r="D211" s="155" t="s">
        <v>315</v>
      </c>
      <c r="E211" s="320" t="s">
        <v>328</v>
      </c>
      <c r="F211" s="187">
        <f t="shared" ref="F211:L211" si="13">+IF(F10=0,0,IF(E237&lt;&gt;0,F237/E237-1,0))</f>
        <v>-0.10771646042584171</v>
      </c>
      <c r="G211" s="187">
        <f t="shared" si="13"/>
        <v>2.5597239400375393E-2</v>
      </c>
      <c r="H211" s="188">
        <f t="shared" si="13"/>
        <v>-5.2551054910756623E-2</v>
      </c>
      <c r="I211" s="147">
        <f t="shared" si="13"/>
        <v>0.31928791228952647</v>
      </c>
      <c r="J211" s="148">
        <f t="shared" si="13"/>
        <v>-0.21541573260158065</v>
      </c>
      <c r="K211" s="148">
        <f t="shared" si="13"/>
        <v>0.1131639722863742</v>
      </c>
      <c r="L211" s="148">
        <f t="shared" si="13"/>
        <v>9.9585062240663547E-3</v>
      </c>
    </row>
    <row r="212" spans="2:12" outlineLevel="2">
      <c r="B212" s="218"/>
      <c r="C212" s="369"/>
      <c r="D212" s="156" t="s">
        <v>34</v>
      </c>
      <c r="E212" s="322" t="s">
        <v>328</v>
      </c>
      <c r="F212" s="191">
        <f t="shared" ref="F212:L212" si="14">+IF(F10=0,0,IF(E238&lt;&gt;0,F238/E238-1,0))</f>
        <v>-1.6955873627015117E-2</v>
      </c>
      <c r="G212" s="191">
        <f t="shared" si="14"/>
        <v>9.9788776213226127E-2</v>
      </c>
      <c r="H212" s="192">
        <f t="shared" si="14"/>
        <v>-5.7733097104465392E-2</v>
      </c>
      <c r="I212" s="223">
        <f t="shared" si="14"/>
        <v>-4.2937011277136561E-3</v>
      </c>
      <c r="J212" s="224">
        <f t="shared" si="14"/>
        <v>-2.1837266837468339E-2</v>
      </c>
      <c r="K212" s="224">
        <f t="shared" si="14"/>
        <v>2.4945295404813939E-2</v>
      </c>
      <c r="L212" s="224">
        <f t="shared" si="14"/>
        <v>2.4765157984628416E-2</v>
      </c>
    </row>
    <row r="213" spans="2:12" outlineLevel="2">
      <c r="B213" s="142"/>
      <c r="C213" s="370"/>
      <c r="D213" s="150" t="s">
        <v>36</v>
      </c>
      <c r="E213" s="320" t="s">
        <v>328</v>
      </c>
      <c r="F213" s="187">
        <f t="shared" ref="F213:L213" si="15">+IF(F10=0,0,IF(E239&lt;&gt;0,F239/E239-1,0))</f>
        <v>-2.089427029079971E-2</v>
      </c>
      <c r="G213" s="187">
        <f t="shared" si="15"/>
        <v>0.1028682062990478</v>
      </c>
      <c r="H213" s="188">
        <f t="shared" si="15"/>
        <v>-5.7946236817214225E-2</v>
      </c>
      <c r="I213" s="147">
        <f t="shared" si="15"/>
        <v>-1.761860742591026E-2</v>
      </c>
      <c r="J213" s="148">
        <f t="shared" si="15"/>
        <v>6.3180245867957563E-3</v>
      </c>
      <c r="K213" s="148">
        <f t="shared" si="15"/>
        <v>2.4945295404813939E-2</v>
      </c>
      <c r="L213" s="148">
        <f t="shared" si="15"/>
        <v>2.4765157984628416E-2</v>
      </c>
    </row>
    <row r="214" spans="2:12" outlineLevel="2">
      <c r="B214" s="142"/>
      <c r="C214" s="370"/>
      <c r="D214" s="150" t="s">
        <v>35</v>
      </c>
      <c r="E214" s="320" t="s">
        <v>328</v>
      </c>
      <c r="F214" s="187">
        <f t="shared" ref="F214:L214" si="16">+IF(F10=0,0,IF(E240&lt;&gt;0,F240/E240-1,0))</f>
        <v>-6.0726135609805998E-2</v>
      </c>
      <c r="G214" s="187">
        <f t="shared" si="16"/>
        <v>5.6339006936904079E-2</v>
      </c>
      <c r="H214" s="188">
        <f t="shared" si="16"/>
        <v>-5.8380843540325689E-2</v>
      </c>
      <c r="I214" s="147">
        <f t="shared" si="16"/>
        <v>1.8548990935041587E-2</v>
      </c>
      <c r="J214" s="148">
        <f t="shared" si="16"/>
        <v>1.0656006322382394E-2</v>
      </c>
      <c r="K214" s="148">
        <f t="shared" si="16"/>
        <v>2.4983084735524796E-2</v>
      </c>
      <c r="L214" s="148">
        <f t="shared" si="16"/>
        <v>2.4999999999999911E-2</v>
      </c>
    </row>
    <row r="215" spans="2:12" ht="24" outlineLevel="2">
      <c r="B215" s="142"/>
      <c r="C215" s="370"/>
      <c r="D215" s="151" t="s">
        <v>314</v>
      </c>
      <c r="E215" s="323" t="s">
        <v>328</v>
      </c>
      <c r="F215" s="193">
        <f t="shared" ref="F215:L215" si="17">+IF(F10=0,0,IF(E241&lt;&gt;0,F241/E241-1,0))</f>
        <v>8.5141354601001584E-3</v>
      </c>
      <c r="G215" s="193">
        <f t="shared" si="17"/>
        <v>0.18025594224546926</v>
      </c>
      <c r="H215" s="194">
        <f t="shared" si="17"/>
        <v>-2.8060104493559002E-2</v>
      </c>
      <c r="I215" s="157">
        <f t="shared" si="17"/>
        <v>-8.1187204265253388E-2</v>
      </c>
      <c r="J215" s="158">
        <f t="shared" si="17"/>
        <v>-5.1575655279570531E-2</v>
      </c>
      <c r="K215" s="158">
        <f t="shared" si="17"/>
        <v>2.4872667303702301E-2</v>
      </c>
      <c r="L215" s="158">
        <f t="shared" si="17"/>
        <v>2.4364882154833234E-2</v>
      </c>
    </row>
    <row r="216" spans="2:12" ht="24" outlineLevel="1">
      <c r="B216" s="142"/>
      <c r="C216" s="370"/>
      <c r="D216" s="246" t="s">
        <v>337</v>
      </c>
      <c r="E216" s="160"/>
      <c r="F216" s="160"/>
      <c r="G216" s="342" t="s">
        <v>350</v>
      </c>
      <c r="H216" s="342" t="s">
        <v>349</v>
      </c>
      <c r="I216" s="161"/>
      <c r="J216" s="161"/>
      <c r="K216" s="161"/>
      <c r="L216" s="161"/>
    </row>
    <row r="217" spans="2:12" outlineLevel="2">
      <c r="B217" s="218"/>
      <c r="C217" s="369"/>
      <c r="D217" s="143" t="s">
        <v>24</v>
      </c>
      <c r="E217" s="324" t="s">
        <v>328</v>
      </c>
      <c r="F217" s="205">
        <f t="shared" ref="F217:F222" si="18">+IF(F$230=0,"",F230-E230)</f>
        <v>2326334.59</v>
      </c>
      <c r="G217" s="205">
        <f t="shared" ref="G217:G222" si="19">+IF(G$230=0,"",G230-F230)</f>
        <v>-590633.73000000045</v>
      </c>
      <c r="H217" s="206">
        <f t="shared" ref="H217:H222" si="20">+IF(H$230=0,"",H230-G230)</f>
        <v>-763113.8200000003</v>
      </c>
      <c r="I217" s="226">
        <f t="shared" ref="I217:L222" si="21">+IF(I$230=0,"",I230-H230)</f>
        <v>1379893.0700000003</v>
      </c>
      <c r="J217" s="227">
        <f t="shared" si="21"/>
        <v>-3263173.67</v>
      </c>
      <c r="K217" s="227">
        <f t="shared" si="21"/>
        <v>1225000</v>
      </c>
      <c r="L217" s="227">
        <f t="shared" si="21"/>
        <v>120000</v>
      </c>
    </row>
    <row r="218" spans="2:12" outlineLevel="2">
      <c r="B218" s="142"/>
      <c r="C218" s="370"/>
      <c r="D218" s="146" t="s">
        <v>316</v>
      </c>
      <c r="E218" s="325" t="s">
        <v>328</v>
      </c>
      <c r="F218" s="210">
        <f t="shared" si="18"/>
        <v>2279241.8800000008</v>
      </c>
      <c r="G218" s="210">
        <f t="shared" si="19"/>
        <v>71559.059999998659</v>
      </c>
      <c r="H218" s="211">
        <f t="shared" si="20"/>
        <v>-815899.36999999918</v>
      </c>
      <c r="I218" s="165">
        <f t="shared" si="21"/>
        <v>-477115.08000000007</v>
      </c>
      <c r="J218" s="166">
        <f t="shared" si="21"/>
        <v>-822337</v>
      </c>
      <c r="K218" s="166">
        <f t="shared" si="21"/>
        <v>1225000</v>
      </c>
      <c r="L218" s="166">
        <f t="shared" si="21"/>
        <v>120000</v>
      </c>
    </row>
    <row r="219" spans="2:12" outlineLevel="2">
      <c r="B219" s="142"/>
      <c r="C219" s="370"/>
      <c r="D219" s="150" t="s">
        <v>317</v>
      </c>
      <c r="E219" s="326" t="s">
        <v>328</v>
      </c>
      <c r="F219" s="212">
        <f t="shared" si="18"/>
        <v>2397495.959999999</v>
      </c>
      <c r="G219" s="212">
        <f t="shared" si="19"/>
        <v>-126278.02999999933</v>
      </c>
      <c r="H219" s="213">
        <f t="shared" si="20"/>
        <v>-491499.36999999918</v>
      </c>
      <c r="I219" s="165">
        <f t="shared" si="21"/>
        <v>-415839.08000000007</v>
      </c>
      <c r="J219" s="166">
        <f t="shared" si="21"/>
        <v>-621837</v>
      </c>
      <c r="K219" s="166">
        <f t="shared" si="21"/>
        <v>1225000</v>
      </c>
      <c r="L219" s="166">
        <f t="shared" si="21"/>
        <v>120000</v>
      </c>
    </row>
    <row r="220" spans="2:12" outlineLevel="2">
      <c r="B220" s="142"/>
      <c r="C220" s="370"/>
      <c r="D220" s="150" t="s">
        <v>318</v>
      </c>
      <c r="E220" s="326" t="s">
        <v>328</v>
      </c>
      <c r="F220" s="212">
        <f t="shared" si="18"/>
        <v>-118254.07999999984</v>
      </c>
      <c r="G220" s="212">
        <f t="shared" si="19"/>
        <v>197837.08999999985</v>
      </c>
      <c r="H220" s="213">
        <f t="shared" si="20"/>
        <v>-324399.99999999994</v>
      </c>
      <c r="I220" s="165">
        <f t="shared" si="21"/>
        <v>-61276.000000000058</v>
      </c>
      <c r="J220" s="166">
        <f t="shared" si="21"/>
        <v>-200500</v>
      </c>
      <c r="K220" s="166">
        <f t="shared" si="21"/>
        <v>0</v>
      </c>
      <c r="L220" s="166">
        <f t="shared" si="21"/>
        <v>0</v>
      </c>
    </row>
    <row r="221" spans="2:12" ht="24" outlineLevel="2">
      <c r="B221" s="142"/>
      <c r="C221" s="370"/>
      <c r="D221" s="150" t="s">
        <v>319</v>
      </c>
      <c r="E221" s="326" t="s">
        <v>328</v>
      </c>
      <c r="F221" s="212">
        <f t="shared" si="18"/>
        <v>-46799.999999999884</v>
      </c>
      <c r="G221" s="212">
        <f t="shared" si="19"/>
        <v>-63124.000000000116</v>
      </c>
      <c r="H221" s="213">
        <f t="shared" si="20"/>
        <v>-599.99999999994179</v>
      </c>
      <c r="I221" s="165">
        <f t="shared" si="21"/>
        <v>-255076.00000000006</v>
      </c>
      <c r="J221" s="166">
        <f t="shared" si="21"/>
        <v>-500</v>
      </c>
      <c r="K221" s="166">
        <f t="shared" si="21"/>
        <v>0</v>
      </c>
      <c r="L221" s="166">
        <f t="shared" si="21"/>
        <v>0</v>
      </c>
    </row>
    <row r="222" spans="2:12" outlineLevel="2">
      <c r="B222" s="142"/>
      <c r="C222" s="370"/>
      <c r="D222" s="151" t="s">
        <v>33</v>
      </c>
      <c r="E222" s="327" t="s">
        <v>328</v>
      </c>
      <c r="F222" s="214">
        <f t="shared" si="18"/>
        <v>-71454.079999999987</v>
      </c>
      <c r="G222" s="214">
        <f t="shared" si="19"/>
        <v>260961.09</v>
      </c>
      <c r="H222" s="215">
        <f t="shared" si="20"/>
        <v>-323800</v>
      </c>
      <c r="I222" s="168">
        <f t="shared" si="21"/>
        <v>193800</v>
      </c>
      <c r="J222" s="169">
        <f t="shared" si="21"/>
        <v>-200000</v>
      </c>
      <c r="K222" s="169">
        <f t="shared" si="21"/>
        <v>0</v>
      </c>
      <c r="L222" s="169">
        <f t="shared" si="21"/>
        <v>0</v>
      </c>
    </row>
    <row r="223" spans="2:12" outlineLevel="2">
      <c r="B223" s="218"/>
      <c r="C223" s="369"/>
      <c r="D223" s="143" t="s">
        <v>19</v>
      </c>
      <c r="E223" s="324" t="s">
        <v>328</v>
      </c>
      <c r="F223" s="205">
        <f t="shared" ref="F223:F228" si="22">+IF(F$236=0,"",F236-E236)</f>
        <v>-1354369.5500000007</v>
      </c>
      <c r="G223" s="205">
        <f t="shared" ref="G223:G228" si="23">+IF(G$236=0,"",G236-F236)</f>
        <v>3103154.2699999996</v>
      </c>
      <c r="H223" s="206">
        <f t="shared" ref="H223:H228" si="24">+IF(H$236=0,"",H236-G236)</f>
        <v>-807169.95999999903</v>
      </c>
      <c r="I223" s="226">
        <f t="shared" ref="I223:I228" si="25">+IF(I$236=0,"",I236-H236)</f>
        <v>281017.74000000022</v>
      </c>
      <c r="J223" s="227">
        <f t="shared" ref="J223:L228" si="26">+IF(J$236=0,"",J236-I236)</f>
        <v>-3233548.4800000004</v>
      </c>
      <c r="K223" s="227">
        <f t="shared" si="26"/>
        <v>1225000</v>
      </c>
      <c r="L223" s="227">
        <f t="shared" si="26"/>
        <v>120000</v>
      </c>
    </row>
    <row r="224" spans="2:12" outlineLevel="2">
      <c r="B224" s="142"/>
      <c r="C224" s="370"/>
      <c r="D224" s="155" t="s">
        <v>315</v>
      </c>
      <c r="E224" s="326" t="s">
        <v>328</v>
      </c>
      <c r="F224" s="212">
        <f t="shared" si="22"/>
        <v>-1299257.58</v>
      </c>
      <c r="G224" s="212">
        <f t="shared" si="23"/>
        <v>275492.12999999896</v>
      </c>
      <c r="H224" s="213">
        <f t="shared" si="24"/>
        <v>-580061.90999999829</v>
      </c>
      <c r="I224" s="165">
        <f t="shared" si="25"/>
        <v>3339113.67</v>
      </c>
      <c r="J224" s="166">
        <f>+IF(J$236=0,"",J237-I237)</f>
        <v>-2972115.8100000005</v>
      </c>
      <c r="K224" s="166">
        <f>+IF(K$236=0,"",K237-J237)</f>
        <v>1225000</v>
      </c>
      <c r="L224" s="166">
        <f>+IF(L$236=0,"",L237-K237)</f>
        <v>120000</v>
      </c>
    </row>
    <row r="225" spans="2:12" outlineLevel="2">
      <c r="B225" s="218"/>
      <c r="C225" s="369"/>
      <c r="D225" s="156" t="s">
        <v>34</v>
      </c>
      <c r="E225" s="328" t="s">
        <v>328</v>
      </c>
      <c r="F225" s="216">
        <f t="shared" si="22"/>
        <v>-156195.23000000045</v>
      </c>
      <c r="G225" s="216">
        <f t="shared" si="23"/>
        <v>903654.26999999955</v>
      </c>
      <c r="H225" s="217">
        <f t="shared" si="24"/>
        <v>-574982.66000000015</v>
      </c>
      <c r="I225" s="229">
        <f t="shared" si="25"/>
        <v>-40293.559999998659</v>
      </c>
      <c r="J225" s="230">
        <f t="shared" si="26"/>
        <v>-204048.48000000045</v>
      </c>
      <c r="K225" s="230">
        <f t="shared" si="26"/>
        <v>228000</v>
      </c>
      <c r="L225" s="230">
        <f t="shared" si="26"/>
        <v>232000</v>
      </c>
    </row>
    <row r="226" spans="2:12" outlineLevel="2">
      <c r="B226" s="142"/>
      <c r="C226" s="370"/>
      <c r="D226" s="150" t="s">
        <v>36</v>
      </c>
      <c r="E226" s="326" t="s">
        <v>328</v>
      </c>
      <c r="F226" s="212">
        <f t="shared" si="22"/>
        <v>-189901.8200000003</v>
      </c>
      <c r="G226" s="212">
        <f t="shared" si="23"/>
        <v>915403.72999999858</v>
      </c>
      <c r="H226" s="213">
        <f t="shared" si="24"/>
        <v>-568696.25</v>
      </c>
      <c r="I226" s="165">
        <f t="shared" si="25"/>
        <v>-162892.98999999836</v>
      </c>
      <c r="J226" s="166">
        <f t="shared" si="26"/>
        <v>57384.189999999478</v>
      </c>
      <c r="K226" s="166">
        <f t="shared" si="26"/>
        <v>228000</v>
      </c>
      <c r="L226" s="166">
        <f t="shared" si="26"/>
        <v>232000</v>
      </c>
    </row>
    <row r="227" spans="2:12" outlineLevel="2">
      <c r="B227" s="142"/>
      <c r="C227" s="370"/>
      <c r="D227" s="150" t="s">
        <v>35</v>
      </c>
      <c r="E227" s="326" t="s">
        <v>328</v>
      </c>
      <c r="F227" s="212">
        <f t="shared" si="22"/>
        <v>-269698.53000000026</v>
      </c>
      <c r="G227" s="212">
        <f t="shared" si="23"/>
        <v>235019.75</v>
      </c>
      <c r="H227" s="213">
        <f t="shared" si="24"/>
        <v>-257257.97999999998</v>
      </c>
      <c r="I227" s="165">
        <f t="shared" si="25"/>
        <v>76965.14000000013</v>
      </c>
      <c r="J227" s="166">
        <f t="shared" si="26"/>
        <v>45035</v>
      </c>
      <c r="K227" s="166">
        <f t="shared" si="26"/>
        <v>106710</v>
      </c>
      <c r="L227" s="166">
        <f t="shared" si="26"/>
        <v>109450</v>
      </c>
    </row>
    <row r="228" spans="2:12" ht="24" outlineLevel="2">
      <c r="B228" s="142"/>
      <c r="C228" s="370"/>
      <c r="D228" s="151" t="s">
        <v>314</v>
      </c>
      <c r="E228" s="327" t="s">
        <v>328</v>
      </c>
      <c r="F228" s="214">
        <f t="shared" si="22"/>
        <v>28370.259999999776</v>
      </c>
      <c r="G228" s="214">
        <f t="shared" si="23"/>
        <v>605751.27999999933</v>
      </c>
      <c r="H228" s="215">
        <f t="shared" si="24"/>
        <v>-111293.60999999987</v>
      </c>
      <c r="I228" s="168">
        <f t="shared" si="25"/>
        <v>-312973.76999999909</v>
      </c>
      <c r="J228" s="169">
        <f t="shared" si="26"/>
        <v>-182680.48000000045</v>
      </c>
      <c r="K228" s="169">
        <f t="shared" si="26"/>
        <v>83555</v>
      </c>
      <c r="L228" s="169">
        <f t="shared" si="26"/>
        <v>83885</v>
      </c>
    </row>
    <row r="229" spans="2:12" outlineLevel="1">
      <c r="B229" s="142"/>
      <c r="C229" s="370"/>
      <c r="D229" s="246" t="s">
        <v>338</v>
      </c>
      <c r="E229" s="160"/>
      <c r="F229" s="160"/>
      <c r="G229" s="160"/>
      <c r="H229" s="160"/>
      <c r="I229" s="161"/>
      <c r="J229" s="161"/>
      <c r="K229" s="161"/>
      <c r="L229" s="161"/>
    </row>
    <row r="230" spans="2:12" outlineLevel="2">
      <c r="B230" s="218"/>
      <c r="C230" s="369"/>
      <c r="D230" s="143" t="s">
        <v>24</v>
      </c>
      <c r="E230" s="162">
        <f t="shared" ref="E230:L230" si="27">+E10</f>
        <v>11735693.560000001</v>
      </c>
      <c r="F230" s="163">
        <f t="shared" si="27"/>
        <v>14062028.15</v>
      </c>
      <c r="G230" s="163">
        <f t="shared" si="27"/>
        <v>13471394.42</v>
      </c>
      <c r="H230" s="164">
        <f t="shared" si="27"/>
        <v>12708280.6</v>
      </c>
      <c r="I230" s="226">
        <f t="shared" si="27"/>
        <v>14088173.67</v>
      </c>
      <c r="J230" s="227">
        <f t="shared" si="27"/>
        <v>10825000</v>
      </c>
      <c r="K230" s="227">
        <f t="shared" si="27"/>
        <v>12050000</v>
      </c>
      <c r="L230" s="227">
        <f t="shared" si="27"/>
        <v>12170000</v>
      </c>
    </row>
    <row r="231" spans="2:12" outlineLevel="2">
      <c r="B231" s="142"/>
      <c r="C231" s="370"/>
      <c r="D231" s="146" t="s">
        <v>316</v>
      </c>
      <c r="E231" s="171">
        <f t="shared" ref="E231:L231" si="28">+(E10-E75-E78)</f>
        <v>10589550.51</v>
      </c>
      <c r="F231" s="172">
        <f t="shared" si="28"/>
        <v>12868792.390000001</v>
      </c>
      <c r="G231" s="172">
        <f t="shared" si="28"/>
        <v>12940351.449999999</v>
      </c>
      <c r="H231" s="173">
        <f t="shared" si="28"/>
        <v>12124452.08</v>
      </c>
      <c r="I231" s="165">
        <f t="shared" si="28"/>
        <v>11647337</v>
      </c>
      <c r="J231" s="166">
        <f t="shared" si="28"/>
        <v>10825000</v>
      </c>
      <c r="K231" s="166">
        <f t="shared" si="28"/>
        <v>12050000</v>
      </c>
      <c r="L231" s="166">
        <f t="shared" si="28"/>
        <v>12170000</v>
      </c>
    </row>
    <row r="232" spans="2:12" outlineLevel="2">
      <c r="B232" s="142"/>
      <c r="C232" s="370"/>
      <c r="D232" s="150" t="s">
        <v>317</v>
      </c>
      <c r="E232" s="171">
        <f t="shared" ref="E232:L232" si="29">+E11-E75</f>
        <v>10082957.52</v>
      </c>
      <c r="F232" s="172">
        <f t="shared" si="29"/>
        <v>12480453.479999999</v>
      </c>
      <c r="G232" s="172">
        <f t="shared" si="29"/>
        <v>12354175.449999999</v>
      </c>
      <c r="H232" s="173">
        <f t="shared" si="29"/>
        <v>11862676.08</v>
      </c>
      <c r="I232" s="165">
        <f t="shared" si="29"/>
        <v>11446837</v>
      </c>
      <c r="J232" s="166">
        <f t="shared" si="29"/>
        <v>10825000</v>
      </c>
      <c r="K232" s="166">
        <f t="shared" si="29"/>
        <v>12050000</v>
      </c>
      <c r="L232" s="166">
        <f t="shared" si="29"/>
        <v>12170000</v>
      </c>
    </row>
    <row r="233" spans="2:12" outlineLevel="2">
      <c r="B233" s="142"/>
      <c r="C233" s="370"/>
      <c r="D233" s="150" t="s">
        <v>318</v>
      </c>
      <c r="E233" s="171">
        <f t="shared" ref="E233:L233" si="30">+E18-E78</f>
        <v>506592.99</v>
      </c>
      <c r="F233" s="172">
        <f t="shared" si="30"/>
        <v>388338.91000000015</v>
      </c>
      <c r="G233" s="172">
        <f t="shared" si="30"/>
        <v>586176</v>
      </c>
      <c r="H233" s="173">
        <f t="shared" si="30"/>
        <v>261776.00000000006</v>
      </c>
      <c r="I233" s="165">
        <f t="shared" si="30"/>
        <v>200500</v>
      </c>
      <c r="J233" s="166">
        <f t="shared" si="30"/>
        <v>0</v>
      </c>
      <c r="K233" s="166">
        <f t="shared" si="30"/>
        <v>0</v>
      </c>
      <c r="L233" s="166">
        <f t="shared" si="30"/>
        <v>0</v>
      </c>
    </row>
    <row r="234" spans="2:12" ht="24" outlineLevel="2">
      <c r="B234" s="142"/>
      <c r="C234" s="370"/>
      <c r="D234" s="150" t="s">
        <v>319</v>
      </c>
      <c r="E234" s="171">
        <f t="shared" ref="E234:L234" si="31">+E18-E78-E19</f>
        <v>366100</v>
      </c>
      <c r="F234" s="172">
        <f t="shared" si="31"/>
        <v>319300.00000000012</v>
      </c>
      <c r="G234" s="172">
        <f t="shared" si="31"/>
        <v>256176</v>
      </c>
      <c r="H234" s="173">
        <f t="shared" si="31"/>
        <v>255576.00000000006</v>
      </c>
      <c r="I234" s="165">
        <f t="shared" si="31"/>
        <v>500</v>
      </c>
      <c r="J234" s="166">
        <f t="shared" si="31"/>
        <v>0</v>
      </c>
      <c r="K234" s="166">
        <f t="shared" si="31"/>
        <v>0</v>
      </c>
      <c r="L234" s="166">
        <f t="shared" si="31"/>
        <v>0</v>
      </c>
    </row>
    <row r="235" spans="2:12" outlineLevel="2">
      <c r="B235" s="142"/>
      <c r="C235" s="370"/>
      <c r="D235" s="151" t="s">
        <v>33</v>
      </c>
      <c r="E235" s="174">
        <f t="shared" ref="E235:L235" si="32">+E19</f>
        <v>140492.99</v>
      </c>
      <c r="F235" s="175">
        <f t="shared" si="32"/>
        <v>69038.91</v>
      </c>
      <c r="G235" s="175">
        <f t="shared" si="32"/>
        <v>330000</v>
      </c>
      <c r="H235" s="176">
        <f t="shared" si="32"/>
        <v>6200</v>
      </c>
      <c r="I235" s="168">
        <f t="shared" si="32"/>
        <v>200000</v>
      </c>
      <c r="J235" s="169">
        <f t="shared" si="32"/>
        <v>0</v>
      </c>
      <c r="K235" s="169">
        <f t="shared" si="32"/>
        <v>0</v>
      </c>
      <c r="L235" s="169">
        <f t="shared" si="32"/>
        <v>0</v>
      </c>
    </row>
    <row r="236" spans="2:12" outlineLevel="2">
      <c r="B236" s="218"/>
      <c r="C236" s="369"/>
      <c r="D236" s="143" t="s">
        <v>19</v>
      </c>
      <c r="E236" s="162">
        <f t="shared" ref="E236:L236" si="33">+E21</f>
        <v>12835915.98</v>
      </c>
      <c r="F236" s="163">
        <f t="shared" si="33"/>
        <v>11481546.43</v>
      </c>
      <c r="G236" s="163">
        <f t="shared" si="33"/>
        <v>14584700.699999999</v>
      </c>
      <c r="H236" s="164">
        <f t="shared" si="33"/>
        <v>13777530.74</v>
      </c>
      <c r="I236" s="226">
        <f t="shared" si="33"/>
        <v>14058548.48</v>
      </c>
      <c r="J236" s="227">
        <f t="shared" si="33"/>
        <v>10825000</v>
      </c>
      <c r="K236" s="227">
        <f t="shared" si="33"/>
        <v>12050000</v>
      </c>
      <c r="L236" s="227">
        <f t="shared" si="33"/>
        <v>12170000</v>
      </c>
    </row>
    <row r="237" spans="2:12" outlineLevel="2">
      <c r="B237" s="142"/>
      <c r="C237" s="370"/>
      <c r="D237" s="155" t="s">
        <v>315</v>
      </c>
      <c r="E237" s="171">
        <f t="shared" ref="E237:L237" si="34">+E21-E81-E84</f>
        <v>12061829.5</v>
      </c>
      <c r="F237" s="172">
        <f t="shared" si="34"/>
        <v>10762571.92</v>
      </c>
      <c r="G237" s="172">
        <f t="shared" si="34"/>
        <v>11038064.049999999</v>
      </c>
      <c r="H237" s="173">
        <f t="shared" si="34"/>
        <v>10458002.140000001</v>
      </c>
      <c r="I237" s="165">
        <f t="shared" si="34"/>
        <v>13797115.810000001</v>
      </c>
      <c r="J237" s="166">
        <f t="shared" si="34"/>
        <v>10825000</v>
      </c>
      <c r="K237" s="166">
        <f t="shared" si="34"/>
        <v>12050000</v>
      </c>
      <c r="L237" s="166">
        <f t="shared" si="34"/>
        <v>12170000</v>
      </c>
    </row>
    <row r="238" spans="2:12" outlineLevel="2">
      <c r="B238" s="218"/>
      <c r="C238" s="369"/>
      <c r="D238" s="156" t="s">
        <v>34</v>
      </c>
      <c r="E238" s="207">
        <f t="shared" ref="E238:L238" si="35">+E22</f>
        <v>9211865.6600000001</v>
      </c>
      <c r="F238" s="208">
        <f t="shared" si="35"/>
        <v>9055670.4299999997</v>
      </c>
      <c r="G238" s="208">
        <f t="shared" si="35"/>
        <v>9959324.6999999993</v>
      </c>
      <c r="H238" s="209">
        <f t="shared" si="35"/>
        <v>9384342.0399999991</v>
      </c>
      <c r="I238" s="229">
        <f t="shared" si="35"/>
        <v>9344048.4800000004</v>
      </c>
      <c r="J238" s="230">
        <f t="shared" si="35"/>
        <v>9140000</v>
      </c>
      <c r="K238" s="230">
        <f t="shared" si="35"/>
        <v>9368000</v>
      </c>
      <c r="L238" s="230">
        <f t="shared" si="35"/>
        <v>9600000</v>
      </c>
    </row>
    <row r="239" spans="2:12" outlineLevel="2">
      <c r="B239" s="142"/>
      <c r="C239" s="370"/>
      <c r="D239" s="150" t="s">
        <v>36</v>
      </c>
      <c r="E239" s="171">
        <f t="shared" ref="E239:L239" si="36">+E22-E81</f>
        <v>9088703.1400000006</v>
      </c>
      <c r="F239" s="172">
        <f t="shared" si="36"/>
        <v>8898801.3200000003</v>
      </c>
      <c r="G239" s="172">
        <f t="shared" si="36"/>
        <v>9814205.0499999989</v>
      </c>
      <c r="H239" s="173">
        <f t="shared" si="36"/>
        <v>9245508.7999999989</v>
      </c>
      <c r="I239" s="165">
        <f t="shared" si="36"/>
        <v>9082615.8100000005</v>
      </c>
      <c r="J239" s="166">
        <f t="shared" si="36"/>
        <v>9140000</v>
      </c>
      <c r="K239" s="166">
        <f t="shared" si="36"/>
        <v>9368000</v>
      </c>
      <c r="L239" s="166">
        <f t="shared" si="36"/>
        <v>9600000</v>
      </c>
    </row>
    <row r="240" spans="2:12" outlineLevel="2">
      <c r="B240" s="142"/>
      <c r="C240" s="370"/>
      <c r="D240" s="150" t="s">
        <v>35</v>
      </c>
      <c r="E240" s="171">
        <f t="shared" ref="E240:L240" si="37">+E66</f>
        <v>4441226.62</v>
      </c>
      <c r="F240" s="172">
        <f t="shared" si="37"/>
        <v>4171528.09</v>
      </c>
      <c r="G240" s="172">
        <f t="shared" si="37"/>
        <v>4406547.84</v>
      </c>
      <c r="H240" s="173">
        <f t="shared" si="37"/>
        <v>4149289.86</v>
      </c>
      <c r="I240" s="165">
        <f t="shared" si="37"/>
        <v>4226255</v>
      </c>
      <c r="J240" s="166">
        <f t="shared" si="37"/>
        <v>4271290</v>
      </c>
      <c r="K240" s="166">
        <f t="shared" si="37"/>
        <v>4378000</v>
      </c>
      <c r="L240" s="166">
        <f t="shared" si="37"/>
        <v>4487450</v>
      </c>
    </row>
    <row r="241" spans="2:12" ht="24" outlineLevel="2">
      <c r="B241" s="142"/>
      <c r="C241" s="370"/>
      <c r="D241" s="151" t="s">
        <v>314</v>
      </c>
      <c r="E241" s="174">
        <f t="shared" ref="E241:L241" si="38">+E22-E23-E26-E66-E67</f>
        <v>3332136.3200000003</v>
      </c>
      <c r="F241" s="175">
        <f t="shared" si="38"/>
        <v>3360506.58</v>
      </c>
      <c r="G241" s="175">
        <f t="shared" si="38"/>
        <v>3966257.8599999994</v>
      </c>
      <c r="H241" s="176">
        <f t="shared" si="38"/>
        <v>3854964.2499999995</v>
      </c>
      <c r="I241" s="168">
        <f t="shared" si="38"/>
        <v>3541990.4800000004</v>
      </c>
      <c r="J241" s="169">
        <f t="shared" si="38"/>
        <v>3359310</v>
      </c>
      <c r="K241" s="169">
        <f t="shared" si="38"/>
        <v>3442865</v>
      </c>
      <c r="L241" s="169">
        <f t="shared" si="38"/>
        <v>3526750</v>
      </c>
    </row>
    <row r="242" spans="2:12" outlineLevel="2">
      <c r="D242" s="17"/>
      <c r="E242" s="59"/>
      <c r="F242" s="59"/>
      <c r="G242" s="59"/>
      <c r="H242" s="59"/>
      <c r="I242" s="18"/>
      <c r="J242" s="18"/>
      <c r="K242" s="18"/>
      <c r="L242" s="18"/>
    </row>
  </sheetData>
  <sheetProtection formatCells="0" formatColumns="0" formatRows="0" insertColumns="0" deleteColumns="0"/>
  <autoFilter ref="A9:A110"/>
  <customSheetViews>
    <customSheetView guid="{9360F695-77C0-4418-82C5-829A762C44E9}" scale="90" showAutoFilter="1" hiddenColumns="1">
      <pane xSplit="4" ySplit="9" topLeftCell="E10" activePane="bottomRight" state="frozen"/>
      <selection pane="bottomRight" activeCell="E10" sqref="E10"/>
      <rowBreaks count="2" manualBreakCount="2">
        <brk id="48" min="1" max="39" man="1"/>
        <brk id="75" min="1" max="39" man="1"/>
      </rowBreaks>
      <pageMargins left="0.51181102362204722" right="0.51181102362204722" top="0.47244094488188981" bottom="0.47244094488188981" header="0.31496062992125984" footer="0.31496062992125984"/>
      <pageSetup paperSize="9" scale="65" orientation="landscape" blackAndWhite="1" horizontalDpi="4294967293" verticalDpi="4294967293" r:id="rId1"/>
      <headerFooter>
        <oddFooter>&amp;L&amp;"Czcionka tekstu podstawowego,Kursywa"&amp;8Wersja szablonu wydruku: 2013-04-08a&amp;C&amp;8Strona &amp;P z &amp;N&amp;R&amp;8Wydruk z dn.: &amp;D - &amp;T</oddFooter>
      </headerFooter>
      <autoFilter ref="B1"/>
    </customSheetView>
  </customSheetViews>
  <mergeCells count="1">
    <mergeCell ref="E8:F8"/>
  </mergeCells>
  <phoneticPr fontId="66" type="noConversion"/>
  <conditionalFormatting sqref="I61:L62">
    <cfRule type="expression" dxfId="29" priority="39" stopIfTrue="1">
      <formula>LEFT(I61,3)="Nie"</formula>
    </cfRule>
  </conditionalFormatting>
  <conditionalFormatting sqref="I204:L215">
    <cfRule type="cellIs" dxfId="28" priority="16" stopIfTrue="1" operator="notBetween">
      <formula>-$D$203</formula>
      <formula>$D$203</formula>
    </cfRule>
    <cfRule type="cellIs" dxfId="27" priority="100" stopIfTrue="1" operator="notBetween">
      <formula>-$D$202</formula>
      <formula>$D$202</formula>
    </cfRule>
    <cfRule type="cellIs" dxfId="26" priority="101" stopIfTrue="1" operator="notBetween">
      <formula>-$D$201</formula>
      <formula>$D$201</formula>
    </cfRule>
  </conditionalFormatting>
  <conditionalFormatting sqref="I129:L129">
    <cfRule type="cellIs" dxfId="25" priority="13" stopIfTrue="1" operator="between">
      <formula>0</formula>
      <formula>1000000000000</formula>
    </cfRule>
  </conditionalFormatting>
  <conditionalFormatting sqref="I130:L132">
    <cfRule type="cellIs" dxfId="24" priority="12" stopIfTrue="1" operator="between">
      <formula>-1000000000000</formula>
      <formula>1000000000000</formula>
    </cfRule>
  </conditionalFormatting>
  <conditionalFormatting sqref="I127:L128">
    <cfRule type="cellIs" dxfId="23" priority="11" stopIfTrue="1" operator="between">
      <formula>-1000000000000</formula>
      <formula>1000000000000</formula>
    </cfRule>
  </conditionalFormatting>
  <conditionalFormatting sqref="I133:L182">
    <cfRule type="cellIs" dxfId="22" priority="10" stopIfTrue="1" operator="equal">
      <formula>"BŁĄD"</formula>
    </cfRule>
  </conditionalFormatting>
  <conditionalFormatting sqref="I196:L199">
    <cfRule type="cellIs" dxfId="21" priority="59" stopIfTrue="1" operator="lessThan">
      <formula>$D$193</formula>
    </cfRule>
    <cfRule type="cellIs" dxfId="20" priority="60" stopIfTrue="1" operator="lessThan">
      <formula>$D$194</formula>
    </cfRule>
    <cfRule type="cellIs" dxfId="19" priority="61" stopIfTrue="1" operator="lessThan">
      <formula>$D$195</formula>
    </cfRule>
  </conditionalFormatting>
  <pageMargins left="0.51181102362204722" right="0.51181102362204722" top="1" bottom="0.5" header="0.34" footer="0.31496062992125984"/>
  <pageSetup paperSize="9" scale="65" orientation="landscape" blackAndWhite="1" horizontalDpi="4294967293" verticalDpi="4294967293" r:id="rId2"/>
  <headerFooter>
    <oddHeader>&amp;C&amp;"Times New Roman,Pogrubiona"&amp;14
WIELOLETNIA PROGNOZA FINANSOWA GMINY KRZYŻANÓW NA LATA 2014-2017&amp;R&amp;"Times New Roman,Normalny"Załącznik nr 1
do uchwały nr XXIV/190/2014
Rady Gminy Krzyżanów 
z dnia 28.03.2014 r.</oddHeader>
    <oddFooter>&amp;C&amp;8Strona &amp;P z &amp;N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42"/>
  <sheetViews>
    <sheetView zoomScaleSheetLayoutView="100" workbookViewId="0">
      <pane xSplit="4" ySplit="9" topLeftCell="E10" activePane="bottomRight" state="frozen"/>
      <selection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RowHeight="14.25" outlineLevelRow="2" outlineLevelCol="1"/>
  <cols>
    <col min="1" max="1" width="4.375" style="78" hidden="1" customWidth="1" outlineLevel="1"/>
    <col min="2" max="2" width="6.625" style="77" customWidth="1" collapsed="1"/>
    <col min="3" max="3" width="47.875" style="364" hidden="1" customWidth="1" outlineLevel="1"/>
    <col min="4" max="4" width="70.625" style="77" customWidth="1" collapsed="1"/>
    <col min="5" max="8" width="14.375" style="77" customWidth="1" outlineLevel="1"/>
    <col min="9" max="38" width="14.375" style="77" customWidth="1"/>
    <col min="39" max="16384" width="9" style="78"/>
  </cols>
  <sheetData>
    <row r="1" spans="1:253">
      <c r="B1" s="74" t="s">
        <v>326</v>
      </c>
      <c r="C1" s="74"/>
      <c r="D1" s="75"/>
      <c r="E1" s="76"/>
      <c r="F1" s="378" t="s">
        <v>341</v>
      </c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253">
      <c r="B2" s="74" t="s">
        <v>327</v>
      </c>
      <c r="C2" s="74"/>
      <c r="D2" s="75"/>
      <c r="E2" s="76"/>
      <c r="F2" s="378" t="s">
        <v>342</v>
      </c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253">
      <c r="B3" s="79" t="s">
        <v>212</v>
      </c>
      <c r="C3" s="74"/>
      <c r="D3" s="75"/>
      <c r="E3" s="76"/>
      <c r="F3" s="379" t="s">
        <v>324</v>
      </c>
      <c r="G3" s="379"/>
      <c r="H3" s="379"/>
      <c r="I3" s="379"/>
      <c r="J3" s="379"/>
      <c r="K3" s="379"/>
      <c r="L3" s="379"/>
      <c r="M3" s="379"/>
      <c r="N3" s="379"/>
      <c r="O3" s="379"/>
      <c r="P3" s="379"/>
    </row>
    <row r="4" spans="1:253">
      <c r="C4" s="79"/>
      <c r="D4" s="75"/>
      <c r="E4" s="76"/>
      <c r="F4" s="76"/>
      <c r="G4" s="76"/>
      <c r="H4" s="76"/>
      <c r="I4" s="76"/>
      <c r="J4" s="76"/>
    </row>
    <row r="5" spans="1:253" s="81" customFormat="1" ht="15">
      <c r="B5" s="82" t="s">
        <v>333</v>
      </c>
      <c r="D5" s="83" t="str">
        <f>DaneZrodlowe!B4</f>
        <v>XXIV/190/2014</v>
      </c>
      <c r="F5" s="79"/>
      <c r="G5" s="84"/>
      <c r="I5" s="85" t="str">
        <f>D6&amp;" - "&amp;"WPF za lata "&amp;D7&amp;" - Nr Uchwały JST: "&amp;D5</f>
        <v>KRZYŻANÓW - WPF za lata 2014 - 2017 - Nr Uchwały JST: XXIV/190/2014</v>
      </c>
      <c r="L5" s="76"/>
      <c r="N5" s="80"/>
      <c r="O5" s="80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</row>
    <row r="6" spans="1:253" s="81" customFormat="1" ht="15">
      <c r="B6" s="82" t="s">
        <v>15</v>
      </c>
      <c r="D6" s="41" t="str">
        <f>DaneZrodlowe!C4</f>
        <v>KRZYŻANÓW</v>
      </c>
      <c r="F6" s="86"/>
      <c r="G6" s="87"/>
      <c r="H6" s="87"/>
      <c r="L6" s="76"/>
      <c r="N6" s="80"/>
      <c r="O6" s="80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</row>
    <row r="7" spans="1:253" s="81" customFormat="1" ht="15">
      <c r="B7" s="88" t="s">
        <v>16</v>
      </c>
      <c r="D7" s="42" t="str">
        <f>CONCATENATE(DaneZrodlowe!N1," - ",DaneZrodlowe!Q1)</f>
        <v>2014 - 2017</v>
      </c>
      <c r="G7" s="89"/>
      <c r="J7" s="360" t="s">
        <v>363</v>
      </c>
      <c r="K7" s="109">
        <v>2</v>
      </c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</row>
    <row r="8" spans="1:253" s="90" customFormat="1" ht="15.75">
      <c r="B8" s="77"/>
      <c r="C8" s="364"/>
      <c r="E8" s="377" t="s">
        <v>335</v>
      </c>
      <c r="F8" s="377"/>
      <c r="G8" s="241" t="s">
        <v>334</v>
      </c>
      <c r="H8" s="241" t="s">
        <v>335</v>
      </c>
      <c r="I8" s="250" t="str">
        <f>""</f>
        <v/>
      </c>
      <c r="J8" s="240"/>
      <c r="K8" s="240"/>
      <c r="L8" s="240"/>
      <c r="M8" s="240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</row>
    <row r="9" spans="1:253" s="96" customFormat="1">
      <c r="A9" s="311" t="s">
        <v>348</v>
      </c>
      <c r="B9" s="28" t="s">
        <v>0</v>
      </c>
      <c r="C9" s="91" t="s">
        <v>321</v>
      </c>
      <c r="D9" s="291" t="s">
        <v>1</v>
      </c>
      <c r="E9" s="356">
        <f>+F9-1</f>
        <v>2011</v>
      </c>
      <c r="F9" s="357">
        <f>+G9-1</f>
        <v>2012</v>
      </c>
      <c r="G9" s="357">
        <f>+H9</f>
        <v>2013</v>
      </c>
      <c r="H9" s="358">
        <f>+I9-1</f>
        <v>2013</v>
      </c>
      <c r="I9" s="92">
        <f>+DaneZrodlowe!$N$1</f>
        <v>2014</v>
      </c>
      <c r="J9" s="93">
        <f>+I9+1</f>
        <v>2015</v>
      </c>
      <c r="K9" s="93">
        <f t="shared" ref="K9:AL9" si="0">+J9+1</f>
        <v>2016</v>
      </c>
      <c r="L9" s="93">
        <f t="shared" si="0"/>
        <v>2017</v>
      </c>
      <c r="M9" s="93">
        <f t="shared" si="0"/>
        <v>2018</v>
      </c>
      <c r="N9" s="93">
        <f t="shared" si="0"/>
        <v>2019</v>
      </c>
      <c r="O9" s="93">
        <f t="shared" si="0"/>
        <v>2020</v>
      </c>
      <c r="P9" s="93">
        <f t="shared" si="0"/>
        <v>2021</v>
      </c>
      <c r="Q9" s="93">
        <f t="shared" si="0"/>
        <v>2022</v>
      </c>
      <c r="R9" s="93">
        <f t="shared" si="0"/>
        <v>2023</v>
      </c>
      <c r="S9" s="93">
        <f t="shared" si="0"/>
        <v>2024</v>
      </c>
      <c r="T9" s="93">
        <f t="shared" si="0"/>
        <v>2025</v>
      </c>
      <c r="U9" s="93">
        <f t="shared" si="0"/>
        <v>2026</v>
      </c>
      <c r="V9" s="93">
        <f t="shared" si="0"/>
        <v>2027</v>
      </c>
      <c r="W9" s="93">
        <f t="shared" si="0"/>
        <v>2028</v>
      </c>
      <c r="X9" s="93">
        <f t="shared" si="0"/>
        <v>2029</v>
      </c>
      <c r="Y9" s="93">
        <f t="shared" si="0"/>
        <v>2030</v>
      </c>
      <c r="Z9" s="93">
        <f t="shared" si="0"/>
        <v>2031</v>
      </c>
      <c r="AA9" s="93">
        <f t="shared" si="0"/>
        <v>2032</v>
      </c>
      <c r="AB9" s="93">
        <f t="shared" si="0"/>
        <v>2033</v>
      </c>
      <c r="AC9" s="93">
        <f t="shared" si="0"/>
        <v>2034</v>
      </c>
      <c r="AD9" s="93">
        <f t="shared" si="0"/>
        <v>2035</v>
      </c>
      <c r="AE9" s="93">
        <f t="shared" si="0"/>
        <v>2036</v>
      </c>
      <c r="AF9" s="93">
        <f t="shared" si="0"/>
        <v>2037</v>
      </c>
      <c r="AG9" s="93">
        <f t="shared" si="0"/>
        <v>2038</v>
      </c>
      <c r="AH9" s="93">
        <f t="shared" si="0"/>
        <v>2039</v>
      </c>
      <c r="AI9" s="93">
        <f t="shared" si="0"/>
        <v>2040</v>
      </c>
      <c r="AJ9" s="93">
        <f t="shared" si="0"/>
        <v>2041</v>
      </c>
      <c r="AK9" s="93">
        <f t="shared" si="0"/>
        <v>2042</v>
      </c>
      <c r="AL9" s="94">
        <f t="shared" si="0"/>
        <v>2043</v>
      </c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</row>
    <row r="10" spans="1:253" s="97" customFormat="1" ht="15" outlineLevel="1">
      <c r="A10" s="309" t="s">
        <v>28</v>
      </c>
      <c r="B10" s="31">
        <v>1</v>
      </c>
      <c r="C10" s="366" t="s">
        <v>322</v>
      </c>
      <c r="D10" s="293" t="s">
        <v>24</v>
      </c>
      <c r="E10" s="195">
        <f>Zał.1_WPF_bazowy!E10</f>
        <v>11735693.560000001</v>
      </c>
      <c r="F10" s="196">
        <f>Zał.1_WPF_bazowy!F10</f>
        <v>14062028.15</v>
      </c>
      <c r="G10" s="196">
        <f>Zał.1_WPF_bazowy!G10</f>
        <v>13471394.42</v>
      </c>
      <c r="H10" s="73">
        <f>+H11+H18</f>
        <v>12708280.6</v>
      </c>
      <c r="I10" s="71">
        <f>+I11+I18</f>
        <v>14088173.67</v>
      </c>
      <c r="J10" s="72">
        <f t="shared" ref="J10:AL10" si="1">+J11+J18</f>
        <v>10825000</v>
      </c>
      <c r="K10" s="72">
        <f t="shared" si="1"/>
        <v>12050000</v>
      </c>
      <c r="L10" s="72">
        <f t="shared" si="1"/>
        <v>12170000</v>
      </c>
      <c r="M10" s="72" t="e">
        <f t="shared" si="1"/>
        <v>#REF!</v>
      </c>
      <c r="N10" s="72" t="e">
        <f t="shared" si="1"/>
        <v>#REF!</v>
      </c>
      <c r="O10" s="72" t="e">
        <f t="shared" si="1"/>
        <v>#REF!</v>
      </c>
      <c r="P10" s="72" t="e">
        <f t="shared" si="1"/>
        <v>#REF!</v>
      </c>
      <c r="Q10" s="72" t="e">
        <f t="shared" si="1"/>
        <v>#REF!</v>
      </c>
      <c r="R10" s="72" t="e">
        <f t="shared" si="1"/>
        <v>#REF!</v>
      </c>
      <c r="S10" s="72" t="e">
        <f t="shared" si="1"/>
        <v>#REF!</v>
      </c>
      <c r="T10" s="72" t="e">
        <f t="shared" si="1"/>
        <v>#REF!</v>
      </c>
      <c r="U10" s="72" t="e">
        <f t="shared" si="1"/>
        <v>#REF!</v>
      </c>
      <c r="V10" s="72" t="e">
        <f t="shared" si="1"/>
        <v>#REF!</v>
      </c>
      <c r="W10" s="72" t="e">
        <f t="shared" si="1"/>
        <v>#REF!</v>
      </c>
      <c r="X10" s="72" t="e">
        <f t="shared" si="1"/>
        <v>#REF!</v>
      </c>
      <c r="Y10" s="72" t="e">
        <f t="shared" si="1"/>
        <v>#REF!</v>
      </c>
      <c r="Z10" s="72" t="e">
        <f t="shared" si="1"/>
        <v>#REF!</v>
      </c>
      <c r="AA10" s="72" t="e">
        <f t="shared" si="1"/>
        <v>#REF!</v>
      </c>
      <c r="AB10" s="72" t="e">
        <f t="shared" si="1"/>
        <v>#REF!</v>
      </c>
      <c r="AC10" s="72" t="e">
        <f t="shared" si="1"/>
        <v>#REF!</v>
      </c>
      <c r="AD10" s="72" t="e">
        <f t="shared" si="1"/>
        <v>#REF!</v>
      </c>
      <c r="AE10" s="72" t="e">
        <f t="shared" si="1"/>
        <v>#REF!</v>
      </c>
      <c r="AF10" s="72" t="e">
        <f t="shared" si="1"/>
        <v>#REF!</v>
      </c>
      <c r="AG10" s="72" t="e">
        <f t="shared" si="1"/>
        <v>#REF!</v>
      </c>
      <c r="AH10" s="72" t="e">
        <f t="shared" si="1"/>
        <v>#REF!</v>
      </c>
      <c r="AI10" s="72" t="e">
        <f t="shared" si="1"/>
        <v>#REF!</v>
      </c>
      <c r="AJ10" s="72" t="e">
        <f t="shared" si="1"/>
        <v>#REF!</v>
      </c>
      <c r="AK10" s="72" t="e">
        <f t="shared" si="1"/>
        <v>#REF!</v>
      </c>
      <c r="AL10" s="73" t="e">
        <f t="shared" si="1"/>
        <v>#REF!</v>
      </c>
    </row>
    <row r="11" spans="1:253" outlineLevel="2">
      <c r="A11" s="309" t="s">
        <v>28</v>
      </c>
      <c r="B11" s="32" t="s">
        <v>136</v>
      </c>
      <c r="C11" s="99"/>
      <c r="D11" s="294" t="s">
        <v>354</v>
      </c>
      <c r="E11" s="197">
        <f>Zał.1_WPF_bazowy!E11</f>
        <v>10187163.27</v>
      </c>
      <c r="F11" s="198">
        <f>Zał.1_WPF_bazowy!F11</f>
        <v>12660364.539999999</v>
      </c>
      <c r="G11" s="198">
        <f>Zał.1_WPF_bazowy!G11</f>
        <v>12464064.42</v>
      </c>
      <c r="H11" s="251">
        <f>Zał.1_WPF_bazowy!H11</f>
        <v>11968299.93</v>
      </c>
      <c r="I11" s="252">
        <f>+Zał.1_WPF_bazowy!I11</f>
        <v>11708269.67</v>
      </c>
      <c r="J11" s="253">
        <f>+Zał.1_WPF_bazowy!J11</f>
        <v>10825000</v>
      </c>
      <c r="K11" s="253">
        <f>+Zał.1_WPF_bazowy!K11</f>
        <v>12050000</v>
      </c>
      <c r="L11" s="253">
        <f>+Zał.1_WPF_bazowy!L11</f>
        <v>12170000</v>
      </c>
      <c r="M11" s="253" t="e">
        <f>+Zał.1_WPF_bazowy!#REF!</f>
        <v>#REF!</v>
      </c>
      <c r="N11" s="253" t="e">
        <f>+Zał.1_WPF_bazowy!#REF!</f>
        <v>#REF!</v>
      </c>
      <c r="O11" s="253" t="e">
        <f>+Zał.1_WPF_bazowy!#REF!</f>
        <v>#REF!</v>
      </c>
      <c r="P11" s="253" t="e">
        <f>+Zał.1_WPF_bazowy!#REF!</f>
        <v>#REF!</v>
      </c>
      <c r="Q11" s="253" t="e">
        <f>+Zał.1_WPF_bazowy!#REF!</f>
        <v>#REF!</v>
      </c>
      <c r="R11" s="253" t="e">
        <f>+Zał.1_WPF_bazowy!#REF!</f>
        <v>#REF!</v>
      </c>
      <c r="S11" s="253" t="e">
        <f>+Zał.1_WPF_bazowy!#REF!</f>
        <v>#REF!</v>
      </c>
      <c r="T11" s="253" t="e">
        <f>+Zał.1_WPF_bazowy!#REF!</f>
        <v>#REF!</v>
      </c>
      <c r="U11" s="253" t="e">
        <f>+Zał.1_WPF_bazowy!#REF!</f>
        <v>#REF!</v>
      </c>
      <c r="V11" s="253" t="e">
        <f>+Zał.1_WPF_bazowy!#REF!</f>
        <v>#REF!</v>
      </c>
      <c r="W11" s="253" t="e">
        <f>+Zał.1_WPF_bazowy!#REF!</f>
        <v>#REF!</v>
      </c>
      <c r="X11" s="253" t="e">
        <f>+Zał.1_WPF_bazowy!#REF!</f>
        <v>#REF!</v>
      </c>
      <c r="Y11" s="253" t="e">
        <f>+Zał.1_WPF_bazowy!#REF!</f>
        <v>#REF!</v>
      </c>
      <c r="Z11" s="253" t="e">
        <f>+Zał.1_WPF_bazowy!#REF!</f>
        <v>#REF!</v>
      </c>
      <c r="AA11" s="253" t="e">
        <f>+Zał.1_WPF_bazowy!#REF!</f>
        <v>#REF!</v>
      </c>
      <c r="AB11" s="253" t="e">
        <f>+Zał.1_WPF_bazowy!#REF!</f>
        <v>#REF!</v>
      </c>
      <c r="AC11" s="253" t="e">
        <f>+Zał.1_WPF_bazowy!#REF!</f>
        <v>#REF!</v>
      </c>
      <c r="AD11" s="253" t="e">
        <f>+Zał.1_WPF_bazowy!#REF!</f>
        <v>#REF!</v>
      </c>
      <c r="AE11" s="253" t="e">
        <f>+Zał.1_WPF_bazowy!#REF!</f>
        <v>#REF!</v>
      </c>
      <c r="AF11" s="253" t="e">
        <f>+Zał.1_WPF_bazowy!#REF!</f>
        <v>#REF!</v>
      </c>
      <c r="AG11" s="253" t="e">
        <f>+Zał.1_WPF_bazowy!#REF!</f>
        <v>#REF!</v>
      </c>
      <c r="AH11" s="253" t="e">
        <f>+Zał.1_WPF_bazowy!#REF!</f>
        <v>#REF!</v>
      </c>
      <c r="AI11" s="253" t="e">
        <f>+Zał.1_WPF_bazowy!#REF!</f>
        <v>#REF!</v>
      </c>
      <c r="AJ11" s="253" t="e">
        <f>+Zał.1_WPF_bazowy!#REF!</f>
        <v>#REF!</v>
      </c>
      <c r="AK11" s="253" t="e">
        <f>+Zał.1_WPF_bazowy!#REF!</f>
        <v>#REF!</v>
      </c>
      <c r="AL11" s="254" t="e">
        <f>+Zał.1_WPF_bazowy!#REF!</f>
        <v>#REF!</v>
      </c>
    </row>
    <row r="12" spans="1:253" outlineLevel="2">
      <c r="A12" s="309"/>
      <c r="B12" s="32" t="s">
        <v>41</v>
      </c>
      <c r="C12" s="99"/>
      <c r="D12" s="295" t="s">
        <v>183</v>
      </c>
      <c r="E12" s="197">
        <f>Zał.1_WPF_bazowy!E12</f>
        <v>976091</v>
      </c>
      <c r="F12" s="198">
        <f>Zał.1_WPF_bazowy!F12</f>
        <v>1398132</v>
      </c>
      <c r="G12" s="198">
        <f>Zał.1_WPF_bazowy!G12</f>
        <v>1443005</v>
      </c>
      <c r="H12" s="251">
        <f>Zał.1_WPF_bazowy!H12</f>
        <v>1390365</v>
      </c>
      <c r="I12" s="252">
        <f>+Zał.1_WPF_bazowy!I12</f>
        <v>1335088</v>
      </c>
      <c r="J12" s="253">
        <f>+Zał.1_WPF_bazowy!J12</f>
        <v>1335088</v>
      </c>
      <c r="K12" s="253">
        <f>+Zał.1_WPF_bazowy!K12</f>
        <v>1335088</v>
      </c>
      <c r="L12" s="253">
        <f>+Zał.1_WPF_bazowy!L12</f>
        <v>1335088</v>
      </c>
      <c r="M12" s="253" t="e">
        <f>+Zał.1_WPF_bazowy!#REF!</f>
        <v>#REF!</v>
      </c>
      <c r="N12" s="253" t="e">
        <f>+Zał.1_WPF_bazowy!#REF!</f>
        <v>#REF!</v>
      </c>
      <c r="O12" s="253" t="e">
        <f>+Zał.1_WPF_bazowy!#REF!</f>
        <v>#REF!</v>
      </c>
      <c r="P12" s="253" t="e">
        <f>+Zał.1_WPF_bazowy!#REF!</f>
        <v>#REF!</v>
      </c>
      <c r="Q12" s="253" t="e">
        <f>+Zał.1_WPF_bazowy!#REF!</f>
        <v>#REF!</v>
      </c>
      <c r="R12" s="253" t="e">
        <f>+Zał.1_WPF_bazowy!#REF!</f>
        <v>#REF!</v>
      </c>
      <c r="S12" s="253" t="e">
        <f>+Zał.1_WPF_bazowy!#REF!</f>
        <v>#REF!</v>
      </c>
      <c r="T12" s="253" t="e">
        <f>+Zał.1_WPF_bazowy!#REF!</f>
        <v>#REF!</v>
      </c>
      <c r="U12" s="253" t="e">
        <f>+Zał.1_WPF_bazowy!#REF!</f>
        <v>#REF!</v>
      </c>
      <c r="V12" s="253" t="e">
        <f>+Zał.1_WPF_bazowy!#REF!</f>
        <v>#REF!</v>
      </c>
      <c r="W12" s="253" t="e">
        <f>+Zał.1_WPF_bazowy!#REF!</f>
        <v>#REF!</v>
      </c>
      <c r="X12" s="253" t="e">
        <f>+Zał.1_WPF_bazowy!#REF!</f>
        <v>#REF!</v>
      </c>
      <c r="Y12" s="253" t="e">
        <f>+Zał.1_WPF_bazowy!#REF!</f>
        <v>#REF!</v>
      </c>
      <c r="Z12" s="253" t="e">
        <f>+Zał.1_WPF_bazowy!#REF!</f>
        <v>#REF!</v>
      </c>
      <c r="AA12" s="253" t="e">
        <f>+Zał.1_WPF_bazowy!#REF!</f>
        <v>#REF!</v>
      </c>
      <c r="AB12" s="253" t="e">
        <f>+Zał.1_WPF_bazowy!#REF!</f>
        <v>#REF!</v>
      </c>
      <c r="AC12" s="253" t="e">
        <f>+Zał.1_WPF_bazowy!#REF!</f>
        <v>#REF!</v>
      </c>
      <c r="AD12" s="253" t="e">
        <f>+Zał.1_WPF_bazowy!#REF!</f>
        <v>#REF!</v>
      </c>
      <c r="AE12" s="253" t="e">
        <f>+Zał.1_WPF_bazowy!#REF!</f>
        <v>#REF!</v>
      </c>
      <c r="AF12" s="253" t="e">
        <f>+Zał.1_WPF_bazowy!#REF!</f>
        <v>#REF!</v>
      </c>
      <c r="AG12" s="253" t="e">
        <f>+Zał.1_WPF_bazowy!#REF!</f>
        <v>#REF!</v>
      </c>
      <c r="AH12" s="253" t="e">
        <f>+Zał.1_WPF_bazowy!#REF!</f>
        <v>#REF!</v>
      </c>
      <c r="AI12" s="253" t="e">
        <f>+Zał.1_WPF_bazowy!#REF!</f>
        <v>#REF!</v>
      </c>
      <c r="AJ12" s="253" t="e">
        <f>+Zał.1_WPF_bazowy!#REF!</f>
        <v>#REF!</v>
      </c>
      <c r="AK12" s="253" t="e">
        <f>+Zał.1_WPF_bazowy!#REF!</f>
        <v>#REF!</v>
      </c>
      <c r="AL12" s="254" t="e">
        <f>+Zał.1_WPF_bazowy!#REF!</f>
        <v>#REF!</v>
      </c>
    </row>
    <row r="13" spans="1:253" outlineLevel="2">
      <c r="A13" s="309"/>
      <c r="B13" s="32" t="s">
        <v>43</v>
      </c>
      <c r="C13" s="99"/>
      <c r="D13" s="295" t="s">
        <v>184</v>
      </c>
      <c r="E13" s="197">
        <f>Zał.1_WPF_bazowy!E13</f>
        <v>7359.96</v>
      </c>
      <c r="F13" s="198">
        <f>Zał.1_WPF_bazowy!F13</f>
        <v>873.76</v>
      </c>
      <c r="G13" s="198">
        <f>Zał.1_WPF_bazowy!G13</f>
        <v>1000</v>
      </c>
      <c r="H13" s="251">
        <f>Zał.1_WPF_bazowy!H13</f>
        <v>654.23</v>
      </c>
      <c r="I13" s="252">
        <f>+Zał.1_WPF_bazowy!I13</f>
        <v>1000</v>
      </c>
      <c r="J13" s="253">
        <f>+Zał.1_WPF_bazowy!J13</f>
        <v>1000</v>
      </c>
      <c r="K13" s="253">
        <f>+Zał.1_WPF_bazowy!K13</f>
        <v>1000</v>
      </c>
      <c r="L13" s="253">
        <f>+Zał.1_WPF_bazowy!L13</f>
        <v>1000</v>
      </c>
      <c r="M13" s="253" t="e">
        <f>+Zał.1_WPF_bazowy!#REF!</f>
        <v>#REF!</v>
      </c>
      <c r="N13" s="253" t="e">
        <f>+Zał.1_WPF_bazowy!#REF!</f>
        <v>#REF!</v>
      </c>
      <c r="O13" s="253" t="e">
        <f>+Zał.1_WPF_bazowy!#REF!</f>
        <v>#REF!</v>
      </c>
      <c r="P13" s="253" t="e">
        <f>+Zał.1_WPF_bazowy!#REF!</f>
        <v>#REF!</v>
      </c>
      <c r="Q13" s="253" t="e">
        <f>+Zał.1_WPF_bazowy!#REF!</f>
        <v>#REF!</v>
      </c>
      <c r="R13" s="253" t="e">
        <f>+Zał.1_WPF_bazowy!#REF!</f>
        <v>#REF!</v>
      </c>
      <c r="S13" s="253" t="e">
        <f>+Zał.1_WPF_bazowy!#REF!</f>
        <v>#REF!</v>
      </c>
      <c r="T13" s="253" t="e">
        <f>+Zał.1_WPF_bazowy!#REF!</f>
        <v>#REF!</v>
      </c>
      <c r="U13" s="253" t="e">
        <f>+Zał.1_WPF_bazowy!#REF!</f>
        <v>#REF!</v>
      </c>
      <c r="V13" s="253" t="e">
        <f>+Zał.1_WPF_bazowy!#REF!</f>
        <v>#REF!</v>
      </c>
      <c r="W13" s="253" t="e">
        <f>+Zał.1_WPF_bazowy!#REF!</f>
        <v>#REF!</v>
      </c>
      <c r="X13" s="253" t="e">
        <f>+Zał.1_WPF_bazowy!#REF!</f>
        <v>#REF!</v>
      </c>
      <c r="Y13" s="253" t="e">
        <f>+Zał.1_WPF_bazowy!#REF!</f>
        <v>#REF!</v>
      </c>
      <c r="Z13" s="253" t="e">
        <f>+Zał.1_WPF_bazowy!#REF!</f>
        <v>#REF!</v>
      </c>
      <c r="AA13" s="253" t="e">
        <f>+Zał.1_WPF_bazowy!#REF!</f>
        <v>#REF!</v>
      </c>
      <c r="AB13" s="253" t="e">
        <f>+Zał.1_WPF_bazowy!#REF!</f>
        <v>#REF!</v>
      </c>
      <c r="AC13" s="253" t="e">
        <f>+Zał.1_WPF_bazowy!#REF!</f>
        <v>#REF!</v>
      </c>
      <c r="AD13" s="253" t="e">
        <f>+Zał.1_WPF_bazowy!#REF!</f>
        <v>#REF!</v>
      </c>
      <c r="AE13" s="253" t="e">
        <f>+Zał.1_WPF_bazowy!#REF!</f>
        <v>#REF!</v>
      </c>
      <c r="AF13" s="253" t="e">
        <f>+Zał.1_WPF_bazowy!#REF!</f>
        <v>#REF!</v>
      </c>
      <c r="AG13" s="253" t="e">
        <f>+Zał.1_WPF_bazowy!#REF!</f>
        <v>#REF!</v>
      </c>
      <c r="AH13" s="253" t="e">
        <f>+Zał.1_WPF_bazowy!#REF!</f>
        <v>#REF!</v>
      </c>
      <c r="AI13" s="253" t="e">
        <f>+Zał.1_WPF_bazowy!#REF!</f>
        <v>#REF!</v>
      </c>
      <c r="AJ13" s="253" t="e">
        <f>+Zał.1_WPF_bazowy!#REF!</f>
        <v>#REF!</v>
      </c>
      <c r="AK13" s="253" t="e">
        <f>+Zał.1_WPF_bazowy!#REF!</f>
        <v>#REF!</v>
      </c>
      <c r="AL13" s="254" t="e">
        <f>+Zał.1_WPF_bazowy!#REF!</f>
        <v>#REF!</v>
      </c>
    </row>
    <row r="14" spans="1:253" outlineLevel="2">
      <c r="A14" s="309"/>
      <c r="B14" s="32" t="s">
        <v>45</v>
      </c>
      <c r="C14" s="99"/>
      <c r="D14" s="295" t="s">
        <v>467</v>
      </c>
      <c r="E14" s="197">
        <f>Zał.1_WPF_bazowy!E14</f>
        <v>3093016.26</v>
      </c>
      <c r="F14" s="198">
        <f>Zał.1_WPF_bazowy!F14</f>
        <v>4719070.97</v>
      </c>
      <c r="G14" s="198">
        <f>Zał.1_WPF_bazowy!G14</f>
        <v>3848642.4</v>
      </c>
      <c r="H14" s="251">
        <f>Zał.1_WPF_bazowy!H14</f>
        <v>3241540.05</v>
      </c>
      <c r="I14" s="252">
        <f>+Zał.1_WPF_bazowy!I14</f>
        <v>3982101</v>
      </c>
      <c r="J14" s="253">
        <f>+Zał.1_WPF_bazowy!J14</f>
        <v>4194000</v>
      </c>
      <c r="K14" s="253">
        <f>+Zał.1_WPF_bazowy!K14</f>
        <v>5356000</v>
      </c>
      <c r="L14" s="253">
        <f>+Zał.1_WPF_bazowy!L14</f>
        <v>5410000</v>
      </c>
      <c r="M14" s="253" t="e">
        <f>+Zał.1_WPF_bazowy!#REF!</f>
        <v>#REF!</v>
      </c>
      <c r="N14" s="253" t="e">
        <f>+Zał.1_WPF_bazowy!#REF!</f>
        <v>#REF!</v>
      </c>
      <c r="O14" s="253" t="e">
        <f>+Zał.1_WPF_bazowy!#REF!</f>
        <v>#REF!</v>
      </c>
      <c r="P14" s="253" t="e">
        <f>+Zał.1_WPF_bazowy!#REF!</f>
        <v>#REF!</v>
      </c>
      <c r="Q14" s="253" t="e">
        <f>+Zał.1_WPF_bazowy!#REF!</f>
        <v>#REF!</v>
      </c>
      <c r="R14" s="253" t="e">
        <f>+Zał.1_WPF_bazowy!#REF!</f>
        <v>#REF!</v>
      </c>
      <c r="S14" s="253" t="e">
        <f>+Zał.1_WPF_bazowy!#REF!</f>
        <v>#REF!</v>
      </c>
      <c r="T14" s="253" t="e">
        <f>+Zał.1_WPF_bazowy!#REF!</f>
        <v>#REF!</v>
      </c>
      <c r="U14" s="253" t="e">
        <f>+Zał.1_WPF_bazowy!#REF!</f>
        <v>#REF!</v>
      </c>
      <c r="V14" s="253" t="e">
        <f>+Zał.1_WPF_bazowy!#REF!</f>
        <v>#REF!</v>
      </c>
      <c r="W14" s="253" t="e">
        <f>+Zał.1_WPF_bazowy!#REF!</f>
        <v>#REF!</v>
      </c>
      <c r="X14" s="253" t="e">
        <f>+Zał.1_WPF_bazowy!#REF!</f>
        <v>#REF!</v>
      </c>
      <c r="Y14" s="253" t="e">
        <f>+Zał.1_WPF_bazowy!#REF!</f>
        <v>#REF!</v>
      </c>
      <c r="Z14" s="253" t="e">
        <f>+Zał.1_WPF_bazowy!#REF!</f>
        <v>#REF!</v>
      </c>
      <c r="AA14" s="253" t="e">
        <f>+Zał.1_WPF_bazowy!#REF!</f>
        <v>#REF!</v>
      </c>
      <c r="AB14" s="253" t="e">
        <f>+Zał.1_WPF_bazowy!#REF!</f>
        <v>#REF!</v>
      </c>
      <c r="AC14" s="253" t="e">
        <f>+Zał.1_WPF_bazowy!#REF!</f>
        <v>#REF!</v>
      </c>
      <c r="AD14" s="253" t="e">
        <f>+Zał.1_WPF_bazowy!#REF!</f>
        <v>#REF!</v>
      </c>
      <c r="AE14" s="253" t="e">
        <f>+Zał.1_WPF_bazowy!#REF!</f>
        <v>#REF!</v>
      </c>
      <c r="AF14" s="253" t="e">
        <f>+Zał.1_WPF_bazowy!#REF!</f>
        <v>#REF!</v>
      </c>
      <c r="AG14" s="253" t="e">
        <f>+Zał.1_WPF_bazowy!#REF!</f>
        <v>#REF!</v>
      </c>
      <c r="AH14" s="253" t="e">
        <f>+Zał.1_WPF_bazowy!#REF!</f>
        <v>#REF!</v>
      </c>
      <c r="AI14" s="253" t="e">
        <f>+Zał.1_WPF_bazowy!#REF!</f>
        <v>#REF!</v>
      </c>
      <c r="AJ14" s="253" t="e">
        <f>+Zał.1_WPF_bazowy!#REF!</f>
        <v>#REF!</v>
      </c>
      <c r="AK14" s="253" t="e">
        <f>+Zał.1_WPF_bazowy!#REF!</f>
        <v>#REF!</v>
      </c>
      <c r="AL14" s="254" t="e">
        <f>+Zał.1_WPF_bazowy!#REF!</f>
        <v>#REF!</v>
      </c>
    </row>
    <row r="15" spans="1:253" outlineLevel="2">
      <c r="A15" s="309"/>
      <c r="B15" s="32" t="s">
        <v>47</v>
      </c>
      <c r="C15" s="99"/>
      <c r="D15" s="296" t="s">
        <v>185</v>
      </c>
      <c r="E15" s="197">
        <f>Zał.1_WPF_bazowy!E15</f>
        <v>849319.19</v>
      </c>
      <c r="F15" s="198">
        <f>Zał.1_WPF_bazowy!F15</f>
        <v>1608877.11</v>
      </c>
      <c r="G15" s="198">
        <f>Zał.1_WPF_bazowy!G15</f>
        <v>1644617.4</v>
      </c>
      <c r="H15" s="251">
        <f>Zał.1_WPF_bazowy!H15</f>
        <v>1467888.16</v>
      </c>
      <c r="I15" s="252">
        <f>+Zał.1_WPF_bazowy!I15</f>
        <v>1487389</v>
      </c>
      <c r="J15" s="253">
        <f>+Zał.1_WPF_bazowy!J15</f>
        <v>1674000</v>
      </c>
      <c r="K15" s="253">
        <f>+Zał.1_WPF_bazowy!K15</f>
        <v>2811000</v>
      </c>
      <c r="L15" s="253">
        <f>+Zał.1_WPF_bazowy!L15</f>
        <v>2839000</v>
      </c>
      <c r="M15" s="253" t="e">
        <f>+Zał.1_WPF_bazowy!#REF!</f>
        <v>#REF!</v>
      </c>
      <c r="N15" s="253" t="e">
        <f>+Zał.1_WPF_bazowy!#REF!</f>
        <v>#REF!</v>
      </c>
      <c r="O15" s="253" t="e">
        <f>+Zał.1_WPF_bazowy!#REF!</f>
        <v>#REF!</v>
      </c>
      <c r="P15" s="253" t="e">
        <f>+Zał.1_WPF_bazowy!#REF!</f>
        <v>#REF!</v>
      </c>
      <c r="Q15" s="253" t="e">
        <f>+Zał.1_WPF_bazowy!#REF!</f>
        <v>#REF!</v>
      </c>
      <c r="R15" s="253" t="e">
        <f>+Zał.1_WPF_bazowy!#REF!</f>
        <v>#REF!</v>
      </c>
      <c r="S15" s="253" t="e">
        <f>+Zał.1_WPF_bazowy!#REF!</f>
        <v>#REF!</v>
      </c>
      <c r="T15" s="253" t="e">
        <f>+Zał.1_WPF_bazowy!#REF!</f>
        <v>#REF!</v>
      </c>
      <c r="U15" s="253" t="e">
        <f>+Zał.1_WPF_bazowy!#REF!</f>
        <v>#REF!</v>
      </c>
      <c r="V15" s="253" t="e">
        <f>+Zał.1_WPF_bazowy!#REF!</f>
        <v>#REF!</v>
      </c>
      <c r="W15" s="253" t="e">
        <f>+Zał.1_WPF_bazowy!#REF!</f>
        <v>#REF!</v>
      </c>
      <c r="X15" s="253" t="e">
        <f>+Zał.1_WPF_bazowy!#REF!</f>
        <v>#REF!</v>
      </c>
      <c r="Y15" s="253" t="e">
        <f>+Zał.1_WPF_bazowy!#REF!</f>
        <v>#REF!</v>
      </c>
      <c r="Z15" s="253" t="e">
        <f>+Zał.1_WPF_bazowy!#REF!</f>
        <v>#REF!</v>
      </c>
      <c r="AA15" s="253" t="e">
        <f>+Zał.1_WPF_bazowy!#REF!</f>
        <v>#REF!</v>
      </c>
      <c r="AB15" s="253" t="e">
        <f>+Zał.1_WPF_bazowy!#REF!</f>
        <v>#REF!</v>
      </c>
      <c r="AC15" s="253" t="e">
        <f>+Zał.1_WPF_bazowy!#REF!</f>
        <v>#REF!</v>
      </c>
      <c r="AD15" s="253" t="e">
        <f>+Zał.1_WPF_bazowy!#REF!</f>
        <v>#REF!</v>
      </c>
      <c r="AE15" s="253" t="e">
        <f>+Zał.1_WPF_bazowy!#REF!</f>
        <v>#REF!</v>
      </c>
      <c r="AF15" s="253" t="e">
        <f>+Zał.1_WPF_bazowy!#REF!</f>
        <v>#REF!</v>
      </c>
      <c r="AG15" s="253" t="e">
        <f>+Zał.1_WPF_bazowy!#REF!</f>
        <v>#REF!</v>
      </c>
      <c r="AH15" s="253" t="e">
        <f>+Zał.1_WPF_bazowy!#REF!</f>
        <v>#REF!</v>
      </c>
      <c r="AI15" s="253" t="e">
        <f>+Zał.1_WPF_bazowy!#REF!</f>
        <v>#REF!</v>
      </c>
      <c r="AJ15" s="253" t="e">
        <f>+Zał.1_WPF_bazowy!#REF!</f>
        <v>#REF!</v>
      </c>
      <c r="AK15" s="253" t="e">
        <f>+Zał.1_WPF_bazowy!#REF!</f>
        <v>#REF!</v>
      </c>
      <c r="AL15" s="254" t="e">
        <f>+Zał.1_WPF_bazowy!#REF!</f>
        <v>#REF!</v>
      </c>
    </row>
    <row r="16" spans="1:253" s="90" customFormat="1" ht="15" outlineLevel="2" thickBot="1">
      <c r="A16" s="309"/>
      <c r="B16" s="32" t="s">
        <v>49</v>
      </c>
      <c r="C16" s="99"/>
      <c r="D16" s="295" t="s">
        <v>186</v>
      </c>
      <c r="E16" s="197">
        <f>Zał.1_WPF_bazowy!E16</f>
        <v>4037554</v>
      </c>
      <c r="F16" s="198">
        <f>Zał.1_WPF_bazowy!F16</f>
        <v>4481337</v>
      </c>
      <c r="G16" s="198">
        <f>Zał.1_WPF_bazowy!G16</f>
        <v>4504728</v>
      </c>
      <c r="H16" s="251">
        <f>Zał.1_WPF_bazowy!H16</f>
        <v>4504728</v>
      </c>
      <c r="I16" s="252">
        <f>+Zał.1_WPF_bazowy!I16</f>
        <v>3274658</v>
      </c>
      <c r="J16" s="253">
        <f>+Zał.1_WPF_bazowy!J16</f>
        <v>3294922</v>
      </c>
      <c r="K16" s="253">
        <f>+Zał.1_WPF_bazowy!K16</f>
        <v>3294922</v>
      </c>
      <c r="L16" s="253">
        <f>+Zał.1_WPF_bazowy!L16</f>
        <v>3294922</v>
      </c>
      <c r="M16" s="253" t="e">
        <f>+Zał.1_WPF_bazowy!#REF!</f>
        <v>#REF!</v>
      </c>
      <c r="N16" s="253" t="e">
        <f>+Zał.1_WPF_bazowy!#REF!</f>
        <v>#REF!</v>
      </c>
      <c r="O16" s="253" t="e">
        <f>+Zał.1_WPF_bazowy!#REF!</f>
        <v>#REF!</v>
      </c>
      <c r="P16" s="253" t="e">
        <f>+Zał.1_WPF_bazowy!#REF!</f>
        <v>#REF!</v>
      </c>
      <c r="Q16" s="253" t="e">
        <f>+Zał.1_WPF_bazowy!#REF!</f>
        <v>#REF!</v>
      </c>
      <c r="R16" s="253" t="e">
        <f>+Zał.1_WPF_bazowy!#REF!</f>
        <v>#REF!</v>
      </c>
      <c r="S16" s="253" t="e">
        <f>+Zał.1_WPF_bazowy!#REF!</f>
        <v>#REF!</v>
      </c>
      <c r="T16" s="253" t="e">
        <f>+Zał.1_WPF_bazowy!#REF!</f>
        <v>#REF!</v>
      </c>
      <c r="U16" s="253" t="e">
        <f>+Zał.1_WPF_bazowy!#REF!</f>
        <v>#REF!</v>
      </c>
      <c r="V16" s="253" t="e">
        <f>+Zał.1_WPF_bazowy!#REF!</f>
        <v>#REF!</v>
      </c>
      <c r="W16" s="253" t="e">
        <f>+Zał.1_WPF_bazowy!#REF!</f>
        <v>#REF!</v>
      </c>
      <c r="X16" s="253" t="e">
        <f>+Zał.1_WPF_bazowy!#REF!</f>
        <v>#REF!</v>
      </c>
      <c r="Y16" s="253" t="e">
        <f>+Zał.1_WPF_bazowy!#REF!</f>
        <v>#REF!</v>
      </c>
      <c r="Z16" s="253" t="e">
        <f>+Zał.1_WPF_bazowy!#REF!</f>
        <v>#REF!</v>
      </c>
      <c r="AA16" s="253" t="e">
        <f>+Zał.1_WPF_bazowy!#REF!</f>
        <v>#REF!</v>
      </c>
      <c r="AB16" s="253" t="e">
        <f>+Zał.1_WPF_bazowy!#REF!</f>
        <v>#REF!</v>
      </c>
      <c r="AC16" s="253" t="e">
        <f>+Zał.1_WPF_bazowy!#REF!</f>
        <v>#REF!</v>
      </c>
      <c r="AD16" s="253" t="e">
        <f>+Zał.1_WPF_bazowy!#REF!</f>
        <v>#REF!</v>
      </c>
      <c r="AE16" s="253" t="e">
        <f>+Zał.1_WPF_bazowy!#REF!</f>
        <v>#REF!</v>
      </c>
      <c r="AF16" s="253" t="e">
        <f>+Zał.1_WPF_bazowy!#REF!</f>
        <v>#REF!</v>
      </c>
      <c r="AG16" s="253" t="e">
        <f>+Zał.1_WPF_bazowy!#REF!</f>
        <v>#REF!</v>
      </c>
      <c r="AH16" s="253" t="e">
        <f>+Zał.1_WPF_bazowy!#REF!</f>
        <v>#REF!</v>
      </c>
      <c r="AI16" s="253" t="e">
        <f>+Zał.1_WPF_bazowy!#REF!</f>
        <v>#REF!</v>
      </c>
      <c r="AJ16" s="253" t="e">
        <f>+Zał.1_WPF_bazowy!#REF!</f>
        <v>#REF!</v>
      </c>
      <c r="AK16" s="253" t="e">
        <f>+Zał.1_WPF_bazowy!#REF!</f>
        <v>#REF!</v>
      </c>
      <c r="AL16" s="254" t="e">
        <f>+Zał.1_WPF_bazowy!#REF!</f>
        <v>#REF!</v>
      </c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</row>
    <row r="17" spans="1:253" s="100" customFormat="1" outlineLevel="2">
      <c r="A17" s="309"/>
      <c r="B17" s="32" t="s">
        <v>51</v>
      </c>
      <c r="C17" s="99"/>
      <c r="D17" s="295" t="s">
        <v>187</v>
      </c>
      <c r="E17" s="197">
        <f>Zał.1_WPF_bazowy!E17</f>
        <v>2073142.05</v>
      </c>
      <c r="F17" s="198">
        <f>Zał.1_WPF_bazowy!F17</f>
        <v>2060950.81</v>
      </c>
      <c r="G17" s="198">
        <f>Zał.1_WPF_bazowy!G17</f>
        <v>1980030.02</v>
      </c>
      <c r="H17" s="251">
        <f>Zał.1_WPF_bazowy!H17</f>
        <v>2099883.4300000002</v>
      </c>
      <c r="I17" s="252">
        <f>+Zał.1_WPF_bazowy!I17</f>
        <v>1598695.67</v>
      </c>
      <c r="J17" s="253">
        <f>+Zał.1_WPF_bazowy!J17</f>
        <v>1350903</v>
      </c>
      <c r="K17" s="253">
        <f>+Zał.1_WPF_bazowy!K17</f>
        <v>1350903</v>
      </c>
      <c r="L17" s="253">
        <f>+Zał.1_WPF_bazowy!L17</f>
        <v>1350903</v>
      </c>
      <c r="M17" s="253" t="e">
        <f>+Zał.1_WPF_bazowy!#REF!</f>
        <v>#REF!</v>
      </c>
      <c r="N17" s="253" t="e">
        <f>+Zał.1_WPF_bazowy!#REF!</f>
        <v>#REF!</v>
      </c>
      <c r="O17" s="253" t="e">
        <f>+Zał.1_WPF_bazowy!#REF!</f>
        <v>#REF!</v>
      </c>
      <c r="P17" s="253" t="e">
        <f>+Zał.1_WPF_bazowy!#REF!</f>
        <v>#REF!</v>
      </c>
      <c r="Q17" s="253" t="e">
        <f>+Zał.1_WPF_bazowy!#REF!</f>
        <v>#REF!</v>
      </c>
      <c r="R17" s="253" t="e">
        <f>+Zał.1_WPF_bazowy!#REF!</f>
        <v>#REF!</v>
      </c>
      <c r="S17" s="253" t="e">
        <f>+Zał.1_WPF_bazowy!#REF!</f>
        <v>#REF!</v>
      </c>
      <c r="T17" s="253" t="e">
        <f>+Zał.1_WPF_bazowy!#REF!</f>
        <v>#REF!</v>
      </c>
      <c r="U17" s="253" t="e">
        <f>+Zał.1_WPF_bazowy!#REF!</f>
        <v>#REF!</v>
      </c>
      <c r="V17" s="253" t="e">
        <f>+Zał.1_WPF_bazowy!#REF!</f>
        <v>#REF!</v>
      </c>
      <c r="W17" s="253" t="e">
        <f>+Zał.1_WPF_bazowy!#REF!</f>
        <v>#REF!</v>
      </c>
      <c r="X17" s="253" t="e">
        <f>+Zał.1_WPF_bazowy!#REF!</f>
        <v>#REF!</v>
      </c>
      <c r="Y17" s="253" t="e">
        <f>+Zał.1_WPF_bazowy!#REF!</f>
        <v>#REF!</v>
      </c>
      <c r="Z17" s="253" t="e">
        <f>+Zał.1_WPF_bazowy!#REF!</f>
        <v>#REF!</v>
      </c>
      <c r="AA17" s="253" t="e">
        <f>+Zał.1_WPF_bazowy!#REF!</f>
        <v>#REF!</v>
      </c>
      <c r="AB17" s="253" t="e">
        <f>+Zał.1_WPF_bazowy!#REF!</f>
        <v>#REF!</v>
      </c>
      <c r="AC17" s="253" t="e">
        <f>+Zał.1_WPF_bazowy!#REF!</f>
        <v>#REF!</v>
      </c>
      <c r="AD17" s="253" t="e">
        <f>+Zał.1_WPF_bazowy!#REF!</f>
        <v>#REF!</v>
      </c>
      <c r="AE17" s="253" t="e">
        <f>+Zał.1_WPF_bazowy!#REF!</f>
        <v>#REF!</v>
      </c>
      <c r="AF17" s="253" t="e">
        <f>+Zał.1_WPF_bazowy!#REF!</f>
        <v>#REF!</v>
      </c>
      <c r="AG17" s="253" t="e">
        <f>+Zał.1_WPF_bazowy!#REF!</f>
        <v>#REF!</v>
      </c>
      <c r="AH17" s="253" t="e">
        <f>+Zał.1_WPF_bazowy!#REF!</f>
        <v>#REF!</v>
      </c>
      <c r="AI17" s="253" t="e">
        <f>+Zał.1_WPF_bazowy!#REF!</f>
        <v>#REF!</v>
      </c>
      <c r="AJ17" s="253" t="e">
        <f>+Zał.1_WPF_bazowy!#REF!</f>
        <v>#REF!</v>
      </c>
      <c r="AK17" s="253" t="e">
        <f>+Zał.1_WPF_bazowy!#REF!</f>
        <v>#REF!</v>
      </c>
      <c r="AL17" s="254" t="e">
        <f>+Zał.1_WPF_bazowy!#REF!</f>
        <v>#REF!</v>
      </c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</row>
    <row r="18" spans="1:253" outlineLevel="2">
      <c r="A18" s="309" t="s">
        <v>28</v>
      </c>
      <c r="B18" s="32" t="s">
        <v>137</v>
      </c>
      <c r="C18" s="99"/>
      <c r="D18" s="294" t="s">
        <v>466</v>
      </c>
      <c r="E18" s="197">
        <f>Zał.1_WPF_bazowy!E18</f>
        <v>1548530.29</v>
      </c>
      <c r="F18" s="198">
        <f>Zał.1_WPF_bazowy!F18</f>
        <v>1401663.61</v>
      </c>
      <c r="G18" s="198">
        <f>Zał.1_WPF_bazowy!G18</f>
        <v>1007330</v>
      </c>
      <c r="H18" s="251">
        <f>Zał.1_WPF_bazowy!H18</f>
        <v>739980.67</v>
      </c>
      <c r="I18" s="252">
        <f>+Zał.1_WPF_bazowy!I18</f>
        <v>2379904</v>
      </c>
      <c r="J18" s="253">
        <f>+Zał.1_WPF_bazowy!J18</f>
        <v>0</v>
      </c>
      <c r="K18" s="253">
        <f>+Zał.1_WPF_bazowy!K18</f>
        <v>0</v>
      </c>
      <c r="L18" s="253">
        <f>+Zał.1_WPF_bazowy!L18</f>
        <v>0</v>
      </c>
      <c r="M18" s="253" t="e">
        <f>+Zał.1_WPF_bazowy!#REF!</f>
        <v>#REF!</v>
      </c>
      <c r="N18" s="253" t="e">
        <f>+Zał.1_WPF_bazowy!#REF!</f>
        <v>#REF!</v>
      </c>
      <c r="O18" s="253" t="e">
        <f>+Zał.1_WPF_bazowy!#REF!</f>
        <v>#REF!</v>
      </c>
      <c r="P18" s="253" t="e">
        <f>+Zał.1_WPF_bazowy!#REF!</f>
        <v>#REF!</v>
      </c>
      <c r="Q18" s="253" t="e">
        <f>+Zał.1_WPF_bazowy!#REF!</f>
        <v>#REF!</v>
      </c>
      <c r="R18" s="253" t="e">
        <f>+Zał.1_WPF_bazowy!#REF!</f>
        <v>#REF!</v>
      </c>
      <c r="S18" s="253" t="e">
        <f>+Zał.1_WPF_bazowy!#REF!</f>
        <v>#REF!</v>
      </c>
      <c r="T18" s="253" t="e">
        <f>+Zał.1_WPF_bazowy!#REF!</f>
        <v>#REF!</v>
      </c>
      <c r="U18" s="253" t="e">
        <f>+Zał.1_WPF_bazowy!#REF!</f>
        <v>#REF!</v>
      </c>
      <c r="V18" s="253" t="e">
        <f>+Zał.1_WPF_bazowy!#REF!</f>
        <v>#REF!</v>
      </c>
      <c r="W18" s="253" t="e">
        <f>+Zał.1_WPF_bazowy!#REF!</f>
        <v>#REF!</v>
      </c>
      <c r="X18" s="253" t="e">
        <f>+Zał.1_WPF_bazowy!#REF!</f>
        <v>#REF!</v>
      </c>
      <c r="Y18" s="253" t="e">
        <f>+Zał.1_WPF_bazowy!#REF!</f>
        <v>#REF!</v>
      </c>
      <c r="Z18" s="253" t="e">
        <f>+Zał.1_WPF_bazowy!#REF!</f>
        <v>#REF!</v>
      </c>
      <c r="AA18" s="253" t="e">
        <f>+Zał.1_WPF_bazowy!#REF!</f>
        <v>#REF!</v>
      </c>
      <c r="AB18" s="253" t="e">
        <f>+Zał.1_WPF_bazowy!#REF!</f>
        <v>#REF!</v>
      </c>
      <c r="AC18" s="253" t="e">
        <f>+Zał.1_WPF_bazowy!#REF!</f>
        <v>#REF!</v>
      </c>
      <c r="AD18" s="253" t="e">
        <f>+Zał.1_WPF_bazowy!#REF!</f>
        <v>#REF!</v>
      </c>
      <c r="AE18" s="253" t="e">
        <f>+Zał.1_WPF_bazowy!#REF!</f>
        <v>#REF!</v>
      </c>
      <c r="AF18" s="253" t="e">
        <f>+Zał.1_WPF_bazowy!#REF!</f>
        <v>#REF!</v>
      </c>
      <c r="AG18" s="253" t="e">
        <f>+Zał.1_WPF_bazowy!#REF!</f>
        <v>#REF!</v>
      </c>
      <c r="AH18" s="253" t="e">
        <f>+Zał.1_WPF_bazowy!#REF!</f>
        <v>#REF!</v>
      </c>
      <c r="AI18" s="253" t="e">
        <f>+Zał.1_WPF_bazowy!#REF!</f>
        <v>#REF!</v>
      </c>
      <c r="AJ18" s="253" t="e">
        <f>+Zał.1_WPF_bazowy!#REF!</f>
        <v>#REF!</v>
      </c>
      <c r="AK18" s="253" t="e">
        <f>+Zał.1_WPF_bazowy!#REF!</f>
        <v>#REF!</v>
      </c>
      <c r="AL18" s="254" t="e">
        <f>+Zał.1_WPF_bazowy!#REF!</f>
        <v>#REF!</v>
      </c>
    </row>
    <row r="19" spans="1:253" outlineLevel="2">
      <c r="A19" s="309" t="s">
        <v>28</v>
      </c>
      <c r="B19" s="32" t="s">
        <v>54</v>
      </c>
      <c r="C19" s="99"/>
      <c r="D19" s="295" t="s">
        <v>27</v>
      </c>
      <c r="E19" s="197">
        <f>Zał.1_WPF_bazowy!E19</f>
        <v>140492.99</v>
      </c>
      <c r="F19" s="198">
        <f>Zał.1_WPF_bazowy!F19</f>
        <v>69038.91</v>
      </c>
      <c r="G19" s="198">
        <f>Zał.1_WPF_bazowy!G19</f>
        <v>330000</v>
      </c>
      <c r="H19" s="251">
        <f>Zał.1_WPF_bazowy!H19</f>
        <v>6200</v>
      </c>
      <c r="I19" s="252">
        <f>+Zał.1_WPF_bazowy!I19</f>
        <v>200000</v>
      </c>
      <c r="J19" s="253">
        <f>+Zał.1_WPF_bazowy!J19</f>
        <v>0</v>
      </c>
      <c r="K19" s="253">
        <f>+Zał.1_WPF_bazowy!K19</f>
        <v>0</v>
      </c>
      <c r="L19" s="253">
        <f>+Zał.1_WPF_bazowy!L19</f>
        <v>0</v>
      </c>
      <c r="M19" s="253" t="e">
        <f>+Zał.1_WPF_bazowy!#REF!</f>
        <v>#REF!</v>
      </c>
      <c r="N19" s="253" t="e">
        <f>+Zał.1_WPF_bazowy!#REF!</f>
        <v>#REF!</v>
      </c>
      <c r="O19" s="253" t="e">
        <f>+Zał.1_WPF_bazowy!#REF!</f>
        <v>#REF!</v>
      </c>
      <c r="P19" s="253" t="e">
        <f>+Zał.1_WPF_bazowy!#REF!</f>
        <v>#REF!</v>
      </c>
      <c r="Q19" s="253" t="e">
        <f>+Zał.1_WPF_bazowy!#REF!</f>
        <v>#REF!</v>
      </c>
      <c r="R19" s="253" t="e">
        <f>+Zał.1_WPF_bazowy!#REF!</f>
        <v>#REF!</v>
      </c>
      <c r="S19" s="253" t="e">
        <f>+Zał.1_WPF_bazowy!#REF!</f>
        <v>#REF!</v>
      </c>
      <c r="T19" s="253" t="e">
        <f>+Zał.1_WPF_bazowy!#REF!</f>
        <v>#REF!</v>
      </c>
      <c r="U19" s="253" t="e">
        <f>+Zał.1_WPF_bazowy!#REF!</f>
        <v>#REF!</v>
      </c>
      <c r="V19" s="253" t="e">
        <f>+Zał.1_WPF_bazowy!#REF!</f>
        <v>#REF!</v>
      </c>
      <c r="W19" s="253" t="e">
        <f>+Zał.1_WPF_bazowy!#REF!</f>
        <v>#REF!</v>
      </c>
      <c r="X19" s="253" t="e">
        <f>+Zał.1_WPF_bazowy!#REF!</f>
        <v>#REF!</v>
      </c>
      <c r="Y19" s="253" t="e">
        <f>+Zał.1_WPF_bazowy!#REF!</f>
        <v>#REF!</v>
      </c>
      <c r="Z19" s="253" t="e">
        <f>+Zał.1_WPF_bazowy!#REF!</f>
        <v>#REF!</v>
      </c>
      <c r="AA19" s="253" t="e">
        <f>+Zał.1_WPF_bazowy!#REF!</f>
        <v>#REF!</v>
      </c>
      <c r="AB19" s="253" t="e">
        <f>+Zał.1_WPF_bazowy!#REF!</f>
        <v>#REF!</v>
      </c>
      <c r="AC19" s="253" t="e">
        <f>+Zał.1_WPF_bazowy!#REF!</f>
        <v>#REF!</v>
      </c>
      <c r="AD19" s="253" t="e">
        <f>+Zał.1_WPF_bazowy!#REF!</f>
        <v>#REF!</v>
      </c>
      <c r="AE19" s="253" t="e">
        <f>+Zał.1_WPF_bazowy!#REF!</f>
        <v>#REF!</v>
      </c>
      <c r="AF19" s="253" t="e">
        <f>+Zał.1_WPF_bazowy!#REF!</f>
        <v>#REF!</v>
      </c>
      <c r="AG19" s="253" t="e">
        <f>+Zał.1_WPF_bazowy!#REF!</f>
        <v>#REF!</v>
      </c>
      <c r="AH19" s="253" t="e">
        <f>+Zał.1_WPF_bazowy!#REF!</f>
        <v>#REF!</v>
      </c>
      <c r="AI19" s="253" t="e">
        <f>+Zał.1_WPF_bazowy!#REF!</f>
        <v>#REF!</v>
      </c>
      <c r="AJ19" s="253" t="e">
        <f>+Zał.1_WPF_bazowy!#REF!</f>
        <v>#REF!</v>
      </c>
      <c r="AK19" s="253" t="e">
        <f>+Zał.1_WPF_bazowy!#REF!</f>
        <v>#REF!</v>
      </c>
      <c r="AL19" s="254" t="e">
        <f>+Zał.1_WPF_bazowy!#REF!</f>
        <v>#REF!</v>
      </c>
    </row>
    <row r="20" spans="1:253" outlineLevel="2">
      <c r="A20" s="309"/>
      <c r="B20" s="32" t="s">
        <v>56</v>
      </c>
      <c r="C20" s="99"/>
      <c r="D20" s="295" t="s">
        <v>188</v>
      </c>
      <c r="E20" s="197">
        <f>Zał.1_WPF_bazowy!E20</f>
        <v>1405937.3</v>
      </c>
      <c r="F20" s="198">
        <f>Zał.1_WPF_bazowy!F20</f>
        <v>1332324.7</v>
      </c>
      <c r="G20" s="198">
        <f>Zał.1_WPF_bazowy!G20</f>
        <v>664102</v>
      </c>
      <c r="H20" s="251">
        <f>Zał.1_WPF_bazowy!H20</f>
        <v>720552.67</v>
      </c>
      <c r="I20" s="252">
        <f>+Zał.1_WPF_bazowy!I20</f>
        <v>2179904</v>
      </c>
      <c r="J20" s="253">
        <f>+Zał.1_WPF_bazowy!J20</f>
        <v>0</v>
      </c>
      <c r="K20" s="253">
        <f>+Zał.1_WPF_bazowy!K20</f>
        <v>0</v>
      </c>
      <c r="L20" s="253">
        <f>+Zał.1_WPF_bazowy!L20</f>
        <v>0</v>
      </c>
      <c r="M20" s="253" t="e">
        <f>+Zał.1_WPF_bazowy!#REF!</f>
        <v>#REF!</v>
      </c>
      <c r="N20" s="253" t="e">
        <f>+Zał.1_WPF_bazowy!#REF!</f>
        <v>#REF!</v>
      </c>
      <c r="O20" s="253" t="e">
        <f>+Zał.1_WPF_bazowy!#REF!</f>
        <v>#REF!</v>
      </c>
      <c r="P20" s="253" t="e">
        <f>+Zał.1_WPF_bazowy!#REF!</f>
        <v>#REF!</v>
      </c>
      <c r="Q20" s="253" t="e">
        <f>+Zał.1_WPF_bazowy!#REF!</f>
        <v>#REF!</v>
      </c>
      <c r="R20" s="253" t="e">
        <f>+Zał.1_WPF_bazowy!#REF!</f>
        <v>#REF!</v>
      </c>
      <c r="S20" s="253" t="e">
        <f>+Zał.1_WPF_bazowy!#REF!</f>
        <v>#REF!</v>
      </c>
      <c r="T20" s="253" t="e">
        <f>+Zał.1_WPF_bazowy!#REF!</f>
        <v>#REF!</v>
      </c>
      <c r="U20" s="253" t="e">
        <f>+Zał.1_WPF_bazowy!#REF!</f>
        <v>#REF!</v>
      </c>
      <c r="V20" s="253" t="e">
        <f>+Zał.1_WPF_bazowy!#REF!</f>
        <v>#REF!</v>
      </c>
      <c r="W20" s="253" t="e">
        <f>+Zał.1_WPF_bazowy!#REF!</f>
        <v>#REF!</v>
      </c>
      <c r="X20" s="253" t="e">
        <f>+Zał.1_WPF_bazowy!#REF!</f>
        <v>#REF!</v>
      </c>
      <c r="Y20" s="253" t="e">
        <f>+Zał.1_WPF_bazowy!#REF!</f>
        <v>#REF!</v>
      </c>
      <c r="Z20" s="253" t="e">
        <f>+Zał.1_WPF_bazowy!#REF!</f>
        <v>#REF!</v>
      </c>
      <c r="AA20" s="253" t="e">
        <f>+Zał.1_WPF_bazowy!#REF!</f>
        <v>#REF!</v>
      </c>
      <c r="AB20" s="253" t="e">
        <f>+Zał.1_WPF_bazowy!#REF!</f>
        <v>#REF!</v>
      </c>
      <c r="AC20" s="253" t="e">
        <f>+Zał.1_WPF_bazowy!#REF!</f>
        <v>#REF!</v>
      </c>
      <c r="AD20" s="253" t="e">
        <f>+Zał.1_WPF_bazowy!#REF!</f>
        <v>#REF!</v>
      </c>
      <c r="AE20" s="253" t="e">
        <f>+Zał.1_WPF_bazowy!#REF!</f>
        <v>#REF!</v>
      </c>
      <c r="AF20" s="253" t="e">
        <f>+Zał.1_WPF_bazowy!#REF!</f>
        <v>#REF!</v>
      </c>
      <c r="AG20" s="253" t="e">
        <f>+Zał.1_WPF_bazowy!#REF!</f>
        <v>#REF!</v>
      </c>
      <c r="AH20" s="253" t="e">
        <f>+Zał.1_WPF_bazowy!#REF!</f>
        <v>#REF!</v>
      </c>
      <c r="AI20" s="253" t="e">
        <f>+Zał.1_WPF_bazowy!#REF!</f>
        <v>#REF!</v>
      </c>
      <c r="AJ20" s="253" t="e">
        <f>+Zał.1_WPF_bazowy!#REF!</f>
        <v>#REF!</v>
      </c>
      <c r="AK20" s="253" t="e">
        <f>+Zał.1_WPF_bazowy!#REF!</f>
        <v>#REF!</v>
      </c>
      <c r="AL20" s="254" t="e">
        <f>+Zał.1_WPF_bazowy!#REF!</f>
        <v>#REF!</v>
      </c>
    </row>
    <row r="21" spans="1:253" s="97" customFormat="1" ht="15" outlineLevel="1">
      <c r="A21" s="309" t="s">
        <v>28</v>
      </c>
      <c r="B21" s="31">
        <v>2</v>
      </c>
      <c r="C21" s="366" t="s">
        <v>323</v>
      </c>
      <c r="D21" s="293" t="s">
        <v>19</v>
      </c>
      <c r="E21" s="195">
        <f>Zał.1_WPF_bazowy!E21</f>
        <v>12835915.98</v>
      </c>
      <c r="F21" s="196">
        <f>Zał.1_WPF_bazowy!F21</f>
        <v>11481546.43</v>
      </c>
      <c r="G21" s="196">
        <f>Zał.1_WPF_bazowy!G21</f>
        <v>14584700.699999999</v>
      </c>
      <c r="H21" s="73">
        <f>+H22+H30</f>
        <v>13777530.739999998</v>
      </c>
      <c r="I21" s="71">
        <f>+I22+I30</f>
        <v>14058548.48</v>
      </c>
      <c r="J21" s="72">
        <f t="shared" ref="J21:AL21" si="2">+J22+J30</f>
        <v>10825000</v>
      </c>
      <c r="K21" s="72">
        <f t="shared" si="2"/>
        <v>12050000</v>
      </c>
      <c r="L21" s="72">
        <f t="shared" si="2"/>
        <v>12170000</v>
      </c>
      <c r="M21" s="72" t="e">
        <f t="shared" si="2"/>
        <v>#REF!</v>
      </c>
      <c r="N21" s="72" t="e">
        <f t="shared" si="2"/>
        <v>#REF!</v>
      </c>
      <c r="O21" s="72" t="e">
        <f t="shared" si="2"/>
        <v>#REF!</v>
      </c>
      <c r="P21" s="72" t="e">
        <f t="shared" si="2"/>
        <v>#REF!</v>
      </c>
      <c r="Q21" s="72" t="e">
        <f t="shared" si="2"/>
        <v>#REF!</v>
      </c>
      <c r="R21" s="72" t="e">
        <f t="shared" si="2"/>
        <v>#REF!</v>
      </c>
      <c r="S21" s="72" t="e">
        <f t="shared" si="2"/>
        <v>#REF!</v>
      </c>
      <c r="T21" s="72" t="e">
        <f t="shared" si="2"/>
        <v>#REF!</v>
      </c>
      <c r="U21" s="72" t="e">
        <f t="shared" si="2"/>
        <v>#REF!</v>
      </c>
      <c r="V21" s="72" t="e">
        <f t="shared" si="2"/>
        <v>#REF!</v>
      </c>
      <c r="W21" s="72" t="e">
        <f t="shared" si="2"/>
        <v>#REF!</v>
      </c>
      <c r="X21" s="72" t="e">
        <f t="shared" si="2"/>
        <v>#REF!</v>
      </c>
      <c r="Y21" s="72" t="e">
        <f t="shared" si="2"/>
        <v>#REF!</v>
      </c>
      <c r="Z21" s="72" t="e">
        <f t="shared" si="2"/>
        <v>#REF!</v>
      </c>
      <c r="AA21" s="72" t="e">
        <f t="shared" si="2"/>
        <v>#REF!</v>
      </c>
      <c r="AB21" s="72" t="e">
        <f t="shared" si="2"/>
        <v>#REF!</v>
      </c>
      <c r="AC21" s="72" t="e">
        <f t="shared" si="2"/>
        <v>#REF!</v>
      </c>
      <c r="AD21" s="72" t="e">
        <f t="shared" si="2"/>
        <v>#REF!</v>
      </c>
      <c r="AE21" s="72" t="e">
        <f t="shared" si="2"/>
        <v>#REF!</v>
      </c>
      <c r="AF21" s="72" t="e">
        <f t="shared" si="2"/>
        <v>#REF!</v>
      </c>
      <c r="AG21" s="72" t="e">
        <f t="shared" si="2"/>
        <v>#REF!</v>
      </c>
      <c r="AH21" s="72" t="e">
        <f t="shared" si="2"/>
        <v>#REF!</v>
      </c>
      <c r="AI21" s="72" t="e">
        <f t="shared" si="2"/>
        <v>#REF!</v>
      </c>
      <c r="AJ21" s="72" t="e">
        <f t="shared" si="2"/>
        <v>#REF!</v>
      </c>
      <c r="AK21" s="72" t="e">
        <f t="shared" si="2"/>
        <v>#REF!</v>
      </c>
      <c r="AL21" s="73" t="e">
        <f t="shared" si="2"/>
        <v>#REF!</v>
      </c>
    </row>
    <row r="22" spans="1:253" outlineLevel="2">
      <c r="A22" s="309" t="s">
        <v>28</v>
      </c>
      <c r="B22" s="32" t="s">
        <v>138</v>
      </c>
      <c r="C22" s="99"/>
      <c r="D22" s="294" t="s">
        <v>189</v>
      </c>
      <c r="E22" s="197">
        <f>Zał.1_WPF_bazowy!E22</f>
        <v>9211865.6600000001</v>
      </c>
      <c r="F22" s="198">
        <f>Zał.1_WPF_bazowy!F22</f>
        <v>9055670.4299999997</v>
      </c>
      <c r="G22" s="198">
        <f>Zał.1_WPF_bazowy!G22</f>
        <v>9959324.6999999993</v>
      </c>
      <c r="H22" s="251">
        <f>Zał.1_WPF_bazowy!H22</f>
        <v>9384342.0399999991</v>
      </c>
      <c r="I22" s="252">
        <f>+Zał.1_WPF_bazowy!I22</f>
        <v>9344048.4800000004</v>
      </c>
      <c r="J22" s="253">
        <f>+Zał.1_WPF_bazowy!J22</f>
        <v>9140000</v>
      </c>
      <c r="K22" s="253">
        <f>+Zał.1_WPF_bazowy!K22</f>
        <v>9368000</v>
      </c>
      <c r="L22" s="253">
        <f>+Zał.1_WPF_bazowy!L22</f>
        <v>9600000</v>
      </c>
      <c r="M22" s="253" t="e">
        <f>+Zał.1_WPF_bazowy!#REF!</f>
        <v>#REF!</v>
      </c>
      <c r="N22" s="253" t="e">
        <f>+Zał.1_WPF_bazowy!#REF!</f>
        <v>#REF!</v>
      </c>
      <c r="O22" s="253" t="e">
        <f>+Zał.1_WPF_bazowy!#REF!</f>
        <v>#REF!</v>
      </c>
      <c r="P22" s="253" t="e">
        <f>+Zał.1_WPF_bazowy!#REF!</f>
        <v>#REF!</v>
      </c>
      <c r="Q22" s="253" t="e">
        <f>+Zał.1_WPF_bazowy!#REF!</f>
        <v>#REF!</v>
      </c>
      <c r="R22" s="253" t="e">
        <f>+Zał.1_WPF_bazowy!#REF!</f>
        <v>#REF!</v>
      </c>
      <c r="S22" s="253" t="e">
        <f>+Zał.1_WPF_bazowy!#REF!</f>
        <v>#REF!</v>
      </c>
      <c r="T22" s="253" t="e">
        <f>+Zał.1_WPF_bazowy!#REF!</f>
        <v>#REF!</v>
      </c>
      <c r="U22" s="253" t="e">
        <f>+Zał.1_WPF_bazowy!#REF!</f>
        <v>#REF!</v>
      </c>
      <c r="V22" s="253" t="e">
        <f>+Zał.1_WPF_bazowy!#REF!</f>
        <v>#REF!</v>
      </c>
      <c r="W22" s="253" t="e">
        <f>+Zał.1_WPF_bazowy!#REF!</f>
        <v>#REF!</v>
      </c>
      <c r="X22" s="253" t="e">
        <f>+Zał.1_WPF_bazowy!#REF!</f>
        <v>#REF!</v>
      </c>
      <c r="Y22" s="253" t="e">
        <f>+Zał.1_WPF_bazowy!#REF!</f>
        <v>#REF!</v>
      </c>
      <c r="Z22" s="253" t="e">
        <f>+Zał.1_WPF_bazowy!#REF!</f>
        <v>#REF!</v>
      </c>
      <c r="AA22" s="253" t="e">
        <f>+Zał.1_WPF_bazowy!#REF!</f>
        <v>#REF!</v>
      </c>
      <c r="AB22" s="253" t="e">
        <f>+Zał.1_WPF_bazowy!#REF!</f>
        <v>#REF!</v>
      </c>
      <c r="AC22" s="253" t="e">
        <f>+Zał.1_WPF_bazowy!#REF!</f>
        <v>#REF!</v>
      </c>
      <c r="AD22" s="253" t="e">
        <f>+Zał.1_WPF_bazowy!#REF!</f>
        <v>#REF!</v>
      </c>
      <c r="AE22" s="253" t="e">
        <f>+Zał.1_WPF_bazowy!#REF!</f>
        <v>#REF!</v>
      </c>
      <c r="AF22" s="253" t="e">
        <f>+Zał.1_WPF_bazowy!#REF!</f>
        <v>#REF!</v>
      </c>
      <c r="AG22" s="253" t="e">
        <f>+Zał.1_WPF_bazowy!#REF!</f>
        <v>#REF!</v>
      </c>
      <c r="AH22" s="253" t="e">
        <f>+Zał.1_WPF_bazowy!#REF!</f>
        <v>#REF!</v>
      </c>
      <c r="AI22" s="253" t="e">
        <f>+Zał.1_WPF_bazowy!#REF!</f>
        <v>#REF!</v>
      </c>
      <c r="AJ22" s="253" t="e">
        <f>+Zał.1_WPF_bazowy!#REF!</f>
        <v>#REF!</v>
      </c>
      <c r="AK22" s="253" t="e">
        <f>+Zał.1_WPF_bazowy!#REF!</f>
        <v>#REF!</v>
      </c>
      <c r="AL22" s="254" t="e">
        <f>+Zał.1_WPF_bazowy!#REF!</f>
        <v>#REF!</v>
      </c>
    </row>
    <row r="23" spans="1:253" outlineLevel="2">
      <c r="A23" s="309" t="s">
        <v>28</v>
      </c>
      <c r="B23" s="32" t="s">
        <v>59</v>
      </c>
      <c r="C23" s="99"/>
      <c r="D23" s="295" t="s">
        <v>465</v>
      </c>
      <c r="E23" s="197">
        <f>Zał.1_WPF_bazowy!E23</f>
        <v>0</v>
      </c>
      <c r="F23" s="198">
        <f>Zał.1_WPF_bazowy!F23</f>
        <v>0</v>
      </c>
      <c r="G23" s="198">
        <f>Zał.1_WPF_bazowy!G23</f>
        <v>0</v>
      </c>
      <c r="H23" s="251">
        <f>Zał.1_WPF_bazowy!H23</f>
        <v>0</v>
      </c>
      <c r="I23" s="252">
        <f>+Zał.1_WPF_bazowy!I23</f>
        <v>0</v>
      </c>
      <c r="J23" s="253">
        <f>+Zał.1_WPF_bazowy!J23</f>
        <v>0</v>
      </c>
      <c r="K23" s="253">
        <f>+Zał.1_WPF_bazowy!K23</f>
        <v>0</v>
      </c>
      <c r="L23" s="253">
        <f>+Zał.1_WPF_bazowy!L23</f>
        <v>0</v>
      </c>
      <c r="M23" s="253" t="e">
        <f>+Zał.1_WPF_bazowy!#REF!</f>
        <v>#REF!</v>
      </c>
      <c r="N23" s="253" t="e">
        <f>+Zał.1_WPF_bazowy!#REF!</f>
        <v>#REF!</v>
      </c>
      <c r="O23" s="253" t="e">
        <f>+Zał.1_WPF_bazowy!#REF!</f>
        <v>#REF!</v>
      </c>
      <c r="P23" s="253" t="e">
        <f>+Zał.1_WPF_bazowy!#REF!</f>
        <v>#REF!</v>
      </c>
      <c r="Q23" s="253" t="e">
        <f>+Zał.1_WPF_bazowy!#REF!</f>
        <v>#REF!</v>
      </c>
      <c r="R23" s="253" t="e">
        <f>+Zał.1_WPF_bazowy!#REF!</f>
        <v>#REF!</v>
      </c>
      <c r="S23" s="253" t="e">
        <f>+Zał.1_WPF_bazowy!#REF!</f>
        <v>#REF!</v>
      </c>
      <c r="T23" s="253" t="e">
        <f>+Zał.1_WPF_bazowy!#REF!</f>
        <v>#REF!</v>
      </c>
      <c r="U23" s="253" t="e">
        <f>+Zał.1_WPF_bazowy!#REF!</f>
        <v>#REF!</v>
      </c>
      <c r="V23" s="253" t="e">
        <f>+Zał.1_WPF_bazowy!#REF!</f>
        <v>#REF!</v>
      </c>
      <c r="W23" s="253" t="e">
        <f>+Zał.1_WPF_bazowy!#REF!</f>
        <v>#REF!</v>
      </c>
      <c r="X23" s="253" t="e">
        <f>+Zał.1_WPF_bazowy!#REF!</f>
        <v>#REF!</v>
      </c>
      <c r="Y23" s="253" t="e">
        <f>+Zał.1_WPF_bazowy!#REF!</f>
        <v>#REF!</v>
      </c>
      <c r="Z23" s="253" t="e">
        <f>+Zał.1_WPF_bazowy!#REF!</f>
        <v>#REF!</v>
      </c>
      <c r="AA23" s="253" t="e">
        <f>+Zał.1_WPF_bazowy!#REF!</f>
        <v>#REF!</v>
      </c>
      <c r="AB23" s="253" t="e">
        <f>+Zał.1_WPF_bazowy!#REF!</f>
        <v>#REF!</v>
      </c>
      <c r="AC23" s="253" t="e">
        <f>+Zał.1_WPF_bazowy!#REF!</f>
        <v>#REF!</v>
      </c>
      <c r="AD23" s="253" t="e">
        <f>+Zał.1_WPF_bazowy!#REF!</f>
        <v>#REF!</v>
      </c>
      <c r="AE23" s="253" t="e">
        <f>+Zał.1_WPF_bazowy!#REF!</f>
        <v>#REF!</v>
      </c>
      <c r="AF23" s="253" t="e">
        <f>+Zał.1_WPF_bazowy!#REF!</f>
        <v>#REF!</v>
      </c>
      <c r="AG23" s="253" t="e">
        <f>+Zał.1_WPF_bazowy!#REF!</f>
        <v>#REF!</v>
      </c>
      <c r="AH23" s="253" t="e">
        <f>+Zał.1_WPF_bazowy!#REF!</f>
        <v>#REF!</v>
      </c>
      <c r="AI23" s="253" t="e">
        <f>+Zał.1_WPF_bazowy!#REF!</f>
        <v>#REF!</v>
      </c>
      <c r="AJ23" s="253" t="e">
        <f>+Zał.1_WPF_bazowy!#REF!</f>
        <v>#REF!</v>
      </c>
      <c r="AK23" s="253" t="e">
        <f>+Zał.1_WPF_bazowy!#REF!</f>
        <v>#REF!</v>
      </c>
      <c r="AL23" s="254" t="e">
        <f>+Zał.1_WPF_bazowy!#REF!</f>
        <v>#REF!</v>
      </c>
    </row>
    <row r="24" spans="1:253" ht="24" outlineLevel="2">
      <c r="A24" s="309" t="s">
        <v>28</v>
      </c>
      <c r="B24" s="32" t="s">
        <v>61</v>
      </c>
      <c r="C24" s="99"/>
      <c r="D24" s="296" t="s">
        <v>464</v>
      </c>
      <c r="E24" s="197">
        <f>Zał.1_WPF_bazowy!E24</f>
        <v>0</v>
      </c>
      <c r="F24" s="198">
        <f>Zał.1_WPF_bazowy!F24</f>
        <v>0</v>
      </c>
      <c r="G24" s="198">
        <f>Zał.1_WPF_bazowy!G24</f>
        <v>0</v>
      </c>
      <c r="H24" s="251">
        <f>Zał.1_WPF_bazowy!H24</f>
        <v>0</v>
      </c>
      <c r="I24" s="252">
        <f>+Zał.1_WPF_bazowy!I24</f>
        <v>0</v>
      </c>
      <c r="J24" s="253">
        <f>+Zał.1_WPF_bazowy!J24</f>
        <v>0</v>
      </c>
      <c r="K24" s="253">
        <f>+Zał.1_WPF_bazowy!K24</f>
        <v>0</v>
      </c>
      <c r="L24" s="253">
        <f>+Zał.1_WPF_bazowy!L24</f>
        <v>0</v>
      </c>
      <c r="M24" s="253" t="e">
        <f>+Zał.1_WPF_bazowy!#REF!</f>
        <v>#REF!</v>
      </c>
      <c r="N24" s="253" t="e">
        <f>+Zał.1_WPF_bazowy!#REF!</f>
        <v>#REF!</v>
      </c>
      <c r="O24" s="253" t="e">
        <f>+Zał.1_WPF_bazowy!#REF!</f>
        <v>#REF!</v>
      </c>
      <c r="P24" s="253" t="e">
        <f>+Zał.1_WPF_bazowy!#REF!</f>
        <v>#REF!</v>
      </c>
      <c r="Q24" s="253" t="e">
        <f>+Zał.1_WPF_bazowy!#REF!</f>
        <v>#REF!</v>
      </c>
      <c r="R24" s="253" t="e">
        <f>+Zał.1_WPF_bazowy!#REF!</f>
        <v>#REF!</v>
      </c>
      <c r="S24" s="253" t="e">
        <f>+Zał.1_WPF_bazowy!#REF!</f>
        <v>#REF!</v>
      </c>
      <c r="T24" s="253" t="e">
        <f>+Zał.1_WPF_bazowy!#REF!</f>
        <v>#REF!</v>
      </c>
      <c r="U24" s="253" t="e">
        <f>+Zał.1_WPF_bazowy!#REF!</f>
        <v>#REF!</v>
      </c>
      <c r="V24" s="253" t="e">
        <f>+Zał.1_WPF_bazowy!#REF!</f>
        <v>#REF!</v>
      </c>
      <c r="W24" s="253" t="e">
        <f>+Zał.1_WPF_bazowy!#REF!</f>
        <v>#REF!</v>
      </c>
      <c r="X24" s="253" t="e">
        <f>+Zał.1_WPF_bazowy!#REF!</f>
        <v>#REF!</v>
      </c>
      <c r="Y24" s="253" t="e">
        <f>+Zał.1_WPF_bazowy!#REF!</f>
        <v>#REF!</v>
      </c>
      <c r="Z24" s="253" t="e">
        <f>+Zał.1_WPF_bazowy!#REF!</f>
        <v>#REF!</v>
      </c>
      <c r="AA24" s="253" t="e">
        <f>+Zał.1_WPF_bazowy!#REF!</f>
        <v>#REF!</v>
      </c>
      <c r="AB24" s="253" t="e">
        <f>+Zał.1_WPF_bazowy!#REF!</f>
        <v>#REF!</v>
      </c>
      <c r="AC24" s="253" t="e">
        <f>+Zał.1_WPF_bazowy!#REF!</f>
        <v>#REF!</v>
      </c>
      <c r="AD24" s="253" t="e">
        <f>+Zał.1_WPF_bazowy!#REF!</f>
        <v>#REF!</v>
      </c>
      <c r="AE24" s="253" t="e">
        <f>+Zał.1_WPF_bazowy!#REF!</f>
        <v>#REF!</v>
      </c>
      <c r="AF24" s="253" t="e">
        <f>+Zał.1_WPF_bazowy!#REF!</f>
        <v>#REF!</v>
      </c>
      <c r="AG24" s="253" t="e">
        <f>+Zał.1_WPF_bazowy!#REF!</f>
        <v>#REF!</v>
      </c>
      <c r="AH24" s="253" t="e">
        <f>+Zał.1_WPF_bazowy!#REF!</f>
        <v>#REF!</v>
      </c>
      <c r="AI24" s="253" t="e">
        <f>+Zał.1_WPF_bazowy!#REF!</f>
        <v>#REF!</v>
      </c>
      <c r="AJ24" s="253" t="e">
        <f>+Zał.1_WPF_bazowy!#REF!</f>
        <v>#REF!</v>
      </c>
      <c r="AK24" s="253" t="e">
        <f>+Zał.1_WPF_bazowy!#REF!</f>
        <v>#REF!</v>
      </c>
      <c r="AL24" s="254" t="e">
        <f>+Zał.1_WPF_bazowy!#REF!</f>
        <v>#REF!</v>
      </c>
    </row>
    <row r="25" spans="1:253" ht="36" outlineLevel="2">
      <c r="A25" s="309"/>
      <c r="B25" s="32" t="s">
        <v>62</v>
      </c>
      <c r="C25" s="99"/>
      <c r="D25" s="295" t="s">
        <v>488</v>
      </c>
      <c r="E25" s="197">
        <f>+Zał.1_WPF_bazowy!E25</f>
        <v>0</v>
      </c>
      <c r="F25" s="198">
        <f>+Zał.1_WPF_bazowy!F25</f>
        <v>0</v>
      </c>
      <c r="G25" s="198">
        <f>+Zał.1_WPF_bazowy!G25</f>
        <v>0</v>
      </c>
      <c r="H25" s="251">
        <f>+Zał.1_WPF_bazowy!H25</f>
        <v>0</v>
      </c>
      <c r="I25" s="252">
        <f>+Zał.1_WPF_bazowy!I25</f>
        <v>0</v>
      </c>
      <c r="J25" s="253">
        <f>+Zał.1_WPF_bazowy!J25</f>
        <v>0</v>
      </c>
      <c r="K25" s="253">
        <f>+Zał.1_WPF_bazowy!K25</f>
        <v>0</v>
      </c>
      <c r="L25" s="253">
        <f>+Zał.1_WPF_bazowy!L25</f>
        <v>0</v>
      </c>
      <c r="M25" s="253" t="e">
        <f>+Zał.1_WPF_bazowy!#REF!</f>
        <v>#REF!</v>
      </c>
      <c r="N25" s="253" t="e">
        <f>+Zał.1_WPF_bazowy!#REF!</f>
        <v>#REF!</v>
      </c>
      <c r="O25" s="253" t="e">
        <f>+Zał.1_WPF_bazowy!#REF!</f>
        <v>#REF!</v>
      </c>
      <c r="P25" s="253" t="e">
        <f>+Zał.1_WPF_bazowy!#REF!</f>
        <v>#REF!</v>
      </c>
      <c r="Q25" s="253" t="e">
        <f>+Zał.1_WPF_bazowy!#REF!</f>
        <v>#REF!</v>
      </c>
      <c r="R25" s="253" t="e">
        <f>+Zał.1_WPF_bazowy!#REF!</f>
        <v>#REF!</v>
      </c>
      <c r="S25" s="253" t="e">
        <f>+Zał.1_WPF_bazowy!#REF!</f>
        <v>#REF!</v>
      </c>
      <c r="T25" s="253" t="e">
        <f>+Zał.1_WPF_bazowy!#REF!</f>
        <v>#REF!</v>
      </c>
      <c r="U25" s="253" t="e">
        <f>+Zał.1_WPF_bazowy!#REF!</f>
        <v>#REF!</v>
      </c>
      <c r="V25" s="253" t="e">
        <f>+Zał.1_WPF_bazowy!#REF!</f>
        <v>#REF!</v>
      </c>
      <c r="W25" s="253" t="e">
        <f>+Zał.1_WPF_bazowy!#REF!</f>
        <v>#REF!</v>
      </c>
      <c r="X25" s="253" t="e">
        <f>+Zał.1_WPF_bazowy!#REF!</f>
        <v>#REF!</v>
      </c>
      <c r="Y25" s="253" t="e">
        <f>+Zał.1_WPF_bazowy!#REF!</f>
        <v>#REF!</v>
      </c>
      <c r="Z25" s="253" t="e">
        <f>+Zał.1_WPF_bazowy!#REF!</f>
        <v>#REF!</v>
      </c>
      <c r="AA25" s="253" t="e">
        <f>+Zał.1_WPF_bazowy!#REF!</f>
        <v>#REF!</v>
      </c>
      <c r="AB25" s="253" t="e">
        <f>+Zał.1_WPF_bazowy!#REF!</f>
        <v>#REF!</v>
      </c>
      <c r="AC25" s="253" t="e">
        <f>+Zał.1_WPF_bazowy!#REF!</f>
        <v>#REF!</v>
      </c>
      <c r="AD25" s="253" t="e">
        <f>+Zał.1_WPF_bazowy!#REF!</f>
        <v>#REF!</v>
      </c>
      <c r="AE25" s="253" t="e">
        <f>+Zał.1_WPF_bazowy!#REF!</f>
        <v>#REF!</v>
      </c>
      <c r="AF25" s="253" t="e">
        <f>+Zał.1_WPF_bazowy!#REF!</f>
        <v>#REF!</v>
      </c>
      <c r="AG25" s="253" t="e">
        <f>+Zał.1_WPF_bazowy!#REF!</f>
        <v>#REF!</v>
      </c>
      <c r="AH25" s="253" t="e">
        <f>+Zał.1_WPF_bazowy!#REF!</f>
        <v>#REF!</v>
      </c>
      <c r="AI25" s="253" t="e">
        <f>+Zał.1_WPF_bazowy!#REF!</f>
        <v>#REF!</v>
      </c>
      <c r="AJ25" s="253" t="e">
        <f>+Zał.1_WPF_bazowy!#REF!</f>
        <v>#REF!</v>
      </c>
      <c r="AK25" s="253" t="e">
        <f>+Zał.1_WPF_bazowy!#REF!</f>
        <v>#REF!</v>
      </c>
      <c r="AL25" s="254" t="e">
        <f>+Zał.1_WPF_bazowy!#REF!</f>
        <v>#REF!</v>
      </c>
    </row>
    <row r="26" spans="1:253" outlineLevel="2">
      <c r="A26" s="309" t="s">
        <v>28</v>
      </c>
      <c r="B26" s="32" t="s">
        <v>63</v>
      </c>
      <c r="C26" s="99"/>
      <c r="D26" s="295" t="s">
        <v>190</v>
      </c>
      <c r="E26" s="197">
        <f>Zał.1_WPF_bazowy!E26</f>
        <v>41411.769999999997</v>
      </c>
      <c r="F26" s="198">
        <f>Zał.1_WPF_bazowy!F26</f>
        <v>84758.58</v>
      </c>
      <c r="G26" s="198">
        <f>Zał.1_WPF_bazowy!G26</f>
        <v>95000</v>
      </c>
      <c r="H26" s="251">
        <f>Zał.1_WPF_bazowy!H26</f>
        <v>36975.83</v>
      </c>
      <c r="I26" s="252">
        <f>+Zał.1_WPF_bazowy!I26</f>
        <v>20000</v>
      </c>
      <c r="J26" s="253">
        <f>+Zał.1_WPF_bazowy!J26</f>
        <v>0</v>
      </c>
      <c r="K26" s="253">
        <f>+Zał.1_WPF_bazowy!K26</f>
        <v>0</v>
      </c>
      <c r="L26" s="253">
        <f>+Zał.1_WPF_bazowy!L26</f>
        <v>0</v>
      </c>
      <c r="M26" s="253" t="e">
        <f>+Zał.1_WPF_bazowy!#REF!</f>
        <v>#REF!</v>
      </c>
      <c r="N26" s="253" t="e">
        <f>+Zał.1_WPF_bazowy!#REF!</f>
        <v>#REF!</v>
      </c>
      <c r="O26" s="253" t="e">
        <f>+Zał.1_WPF_bazowy!#REF!</f>
        <v>#REF!</v>
      </c>
      <c r="P26" s="253" t="e">
        <f>+Zał.1_WPF_bazowy!#REF!</f>
        <v>#REF!</v>
      </c>
      <c r="Q26" s="253" t="e">
        <f>+Zał.1_WPF_bazowy!#REF!</f>
        <v>#REF!</v>
      </c>
      <c r="R26" s="253" t="e">
        <f>+Zał.1_WPF_bazowy!#REF!</f>
        <v>#REF!</v>
      </c>
      <c r="S26" s="253" t="e">
        <f>+Zał.1_WPF_bazowy!#REF!</f>
        <v>#REF!</v>
      </c>
      <c r="T26" s="253" t="e">
        <f>+Zał.1_WPF_bazowy!#REF!</f>
        <v>#REF!</v>
      </c>
      <c r="U26" s="253" t="e">
        <f>+Zał.1_WPF_bazowy!#REF!</f>
        <v>#REF!</v>
      </c>
      <c r="V26" s="253" t="e">
        <f>+Zał.1_WPF_bazowy!#REF!</f>
        <v>#REF!</v>
      </c>
      <c r="W26" s="253" t="e">
        <f>+Zał.1_WPF_bazowy!#REF!</f>
        <v>#REF!</v>
      </c>
      <c r="X26" s="253" t="e">
        <f>+Zał.1_WPF_bazowy!#REF!</f>
        <v>#REF!</v>
      </c>
      <c r="Y26" s="253" t="e">
        <f>+Zał.1_WPF_bazowy!#REF!</f>
        <v>#REF!</v>
      </c>
      <c r="Z26" s="253" t="e">
        <f>+Zał.1_WPF_bazowy!#REF!</f>
        <v>#REF!</v>
      </c>
      <c r="AA26" s="253" t="e">
        <f>+Zał.1_WPF_bazowy!#REF!</f>
        <v>#REF!</v>
      </c>
      <c r="AB26" s="253" t="e">
        <f>+Zał.1_WPF_bazowy!#REF!</f>
        <v>#REF!</v>
      </c>
      <c r="AC26" s="253" t="e">
        <f>+Zał.1_WPF_bazowy!#REF!</f>
        <v>#REF!</v>
      </c>
      <c r="AD26" s="253" t="e">
        <f>+Zał.1_WPF_bazowy!#REF!</f>
        <v>#REF!</v>
      </c>
      <c r="AE26" s="253" t="e">
        <f>+Zał.1_WPF_bazowy!#REF!</f>
        <v>#REF!</v>
      </c>
      <c r="AF26" s="253" t="e">
        <f>+Zał.1_WPF_bazowy!#REF!</f>
        <v>#REF!</v>
      </c>
      <c r="AG26" s="253" t="e">
        <f>+Zał.1_WPF_bazowy!#REF!</f>
        <v>#REF!</v>
      </c>
      <c r="AH26" s="253" t="e">
        <f>+Zał.1_WPF_bazowy!#REF!</f>
        <v>#REF!</v>
      </c>
      <c r="AI26" s="253" t="e">
        <f>+Zał.1_WPF_bazowy!#REF!</f>
        <v>#REF!</v>
      </c>
      <c r="AJ26" s="253" t="e">
        <f>+Zał.1_WPF_bazowy!#REF!</f>
        <v>#REF!</v>
      </c>
      <c r="AK26" s="253" t="e">
        <f>+Zał.1_WPF_bazowy!#REF!</f>
        <v>#REF!</v>
      </c>
      <c r="AL26" s="254" t="e">
        <f>+Zał.1_WPF_bazowy!#REF!</f>
        <v>#REF!</v>
      </c>
    </row>
    <row r="27" spans="1:253" s="101" customFormat="1" outlineLevel="2">
      <c r="A27" s="309" t="s">
        <v>28</v>
      </c>
      <c r="B27" s="32" t="s">
        <v>64</v>
      </c>
      <c r="C27" s="99"/>
      <c r="D27" s="296" t="s">
        <v>487</v>
      </c>
      <c r="E27" s="197">
        <f>Zał.1_WPF_bazowy!E27</f>
        <v>38272.47</v>
      </c>
      <c r="F27" s="198">
        <f>Zał.1_WPF_bazowy!F27</f>
        <v>83194.59</v>
      </c>
      <c r="G27" s="198">
        <f>Zał.1_WPF_bazowy!G27</f>
        <v>95000</v>
      </c>
      <c r="H27" s="251">
        <f>Zał.1_WPF_bazowy!H27</f>
        <v>36075.83</v>
      </c>
      <c r="I27" s="252">
        <f>+Zał.1_WPF_bazowy!I27</f>
        <v>20000</v>
      </c>
      <c r="J27" s="253">
        <f>+Zał.1_WPF_bazowy!J27</f>
        <v>0</v>
      </c>
      <c r="K27" s="253">
        <f>+Zał.1_WPF_bazowy!K27</f>
        <v>0</v>
      </c>
      <c r="L27" s="253">
        <f>+Zał.1_WPF_bazowy!L27</f>
        <v>0</v>
      </c>
      <c r="M27" s="253" t="e">
        <f>+Zał.1_WPF_bazowy!#REF!</f>
        <v>#REF!</v>
      </c>
      <c r="N27" s="253" t="e">
        <f>+Zał.1_WPF_bazowy!#REF!</f>
        <v>#REF!</v>
      </c>
      <c r="O27" s="253" t="e">
        <f>+Zał.1_WPF_bazowy!#REF!</f>
        <v>#REF!</v>
      </c>
      <c r="P27" s="253" t="e">
        <f>+Zał.1_WPF_bazowy!#REF!</f>
        <v>#REF!</v>
      </c>
      <c r="Q27" s="253" t="e">
        <f>+Zał.1_WPF_bazowy!#REF!</f>
        <v>#REF!</v>
      </c>
      <c r="R27" s="253" t="e">
        <f>+Zał.1_WPF_bazowy!#REF!</f>
        <v>#REF!</v>
      </c>
      <c r="S27" s="253" t="e">
        <f>+Zał.1_WPF_bazowy!#REF!</f>
        <v>#REF!</v>
      </c>
      <c r="T27" s="253" t="e">
        <f>+Zał.1_WPF_bazowy!#REF!</f>
        <v>#REF!</v>
      </c>
      <c r="U27" s="253" t="e">
        <f>+Zał.1_WPF_bazowy!#REF!</f>
        <v>#REF!</v>
      </c>
      <c r="V27" s="253" t="e">
        <f>+Zał.1_WPF_bazowy!#REF!</f>
        <v>#REF!</v>
      </c>
      <c r="W27" s="253" t="e">
        <f>+Zał.1_WPF_bazowy!#REF!</f>
        <v>#REF!</v>
      </c>
      <c r="X27" s="253" t="e">
        <f>+Zał.1_WPF_bazowy!#REF!</f>
        <v>#REF!</v>
      </c>
      <c r="Y27" s="253" t="e">
        <f>+Zał.1_WPF_bazowy!#REF!</f>
        <v>#REF!</v>
      </c>
      <c r="Z27" s="253" t="e">
        <f>+Zał.1_WPF_bazowy!#REF!</f>
        <v>#REF!</v>
      </c>
      <c r="AA27" s="253" t="e">
        <f>+Zał.1_WPF_bazowy!#REF!</f>
        <v>#REF!</v>
      </c>
      <c r="AB27" s="253" t="e">
        <f>+Zał.1_WPF_bazowy!#REF!</f>
        <v>#REF!</v>
      </c>
      <c r="AC27" s="253" t="e">
        <f>+Zał.1_WPF_bazowy!#REF!</f>
        <v>#REF!</v>
      </c>
      <c r="AD27" s="253" t="e">
        <f>+Zał.1_WPF_bazowy!#REF!</f>
        <v>#REF!</v>
      </c>
      <c r="AE27" s="253" t="e">
        <f>+Zał.1_WPF_bazowy!#REF!</f>
        <v>#REF!</v>
      </c>
      <c r="AF27" s="253" t="e">
        <f>+Zał.1_WPF_bazowy!#REF!</f>
        <v>#REF!</v>
      </c>
      <c r="AG27" s="253" t="e">
        <f>+Zał.1_WPF_bazowy!#REF!</f>
        <v>#REF!</v>
      </c>
      <c r="AH27" s="253" t="e">
        <f>+Zał.1_WPF_bazowy!#REF!</f>
        <v>#REF!</v>
      </c>
      <c r="AI27" s="253" t="e">
        <f>+Zał.1_WPF_bazowy!#REF!</f>
        <v>#REF!</v>
      </c>
      <c r="AJ27" s="253" t="e">
        <f>+Zał.1_WPF_bazowy!#REF!</f>
        <v>#REF!</v>
      </c>
      <c r="AK27" s="253" t="e">
        <f>+Zał.1_WPF_bazowy!#REF!</f>
        <v>#REF!</v>
      </c>
      <c r="AL27" s="254" t="e">
        <f>+Zał.1_WPF_bazowy!#REF!</f>
        <v>#REF!</v>
      </c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</row>
    <row r="28" spans="1:253" s="101" customFormat="1" ht="36" outlineLevel="2">
      <c r="A28" s="309" t="s">
        <v>28</v>
      </c>
      <c r="B28" s="32" t="s">
        <v>368</v>
      </c>
      <c r="C28" s="99"/>
      <c r="D28" s="373" t="s">
        <v>442</v>
      </c>
      <c r="E28" s="197">
        <f>Zał.1_WPF_bazowy!E28</f>
        <v>0</v>
      </c>
      <c r="F28" s="198">
        <f>Zał.1_WPF_bazowy!F28</f>
        <v>0</v>
      </c>
      <c r="G28" s="198">
        <f>Zał.1_WPF_bazowy!G28</f>
        <v>0</v>
      </c>
      <c r="H28" s="251">
        <f>Zał.1_WPF_bazowy!H28</f>
        <v>0</v>
      </c>
      <c r="I28" s="252">
        <f>+Zał.1_WPF_bazowy!I28</f>
        <v>0</v>
      </c>
      <c r="J28" s="253">
        <f>+Zał.1_WPF_bazowy!J28</f>
        <v>0</v>
      </c>
      <c r="K28" s="253">
        <f>+Zał.1_WPF_bazowy!K28</f>
        <v>0</v>
      </c>
      <c r="L28" s="253">
        <f>+Zał.1_WPF_bazowy!L28</f>
        <v>0</v>
      </c>
      <c r="M28" s="253" t="e">
        <f>+Zał.1_WPF_bazowy!#REF!</f>
        <v>#REF!</v>
      </c>
      <c r="N28" s="253" t="e">
        <f>+Zał.1_WPF_bazowy!#REF!</f>
        <v>#REF!</v>
      </c>
      <c r="O28" s="253" t="e">
        <f>+Zał.1_WPF_bazowy!#REF!</f>
        <v>#REF!</v>
      </c>
      <c r="P28" s="253" t="e">
        <f>+Zał.1_WPF_bazowy!#REF!</f>
        <v>#REF!</v>
      </c>
      <c r="Q28" s="253" t="e">
        <f>+Zał.1_WPF_bazowy!#REF!</f>
        <v>#REF!</v>
      </c>
      <c r="R28" s="253" t="e">
        <f>+Zał.1_WPF_bazowy!#REF!</f>
        <v>#REF!</v>
      </c>
      <c r="S28" s="253" t="e">
        <f>+Zał.1_WPF_bazowy!#REF!</f>
        <v>#REF!</v>
      </c>
      <c r="T28" s="253" t="e">
        <f>+Zał.1_WPF_bazowy!#REF!</f>
        <v>#REF!</v>
      </c>
      <c r="U28" s="253" t="e">
        <f>+Zał.1_WPF_bazowy!#REF!</f>
        <v>#REF!</v>
      </c>
      <c r="V28" s="253" t="e">
        <f>+Zał.1_WPF_bazowy!#REF!</f>
        <v>#REF!</v>
      </c>
      <c r="W28" s="253" t="e">
        <f>+Zał.1_WPF_bazowy!#REF!</f>
        <v>#REF!</v>
      </c>
      <c r="X28" s="253" t="e">
        <f>+Zał.1_WPF_bazowy!#REF!</f>
        <v>#REF!</v>
      </c>
      <c r="Y28" s="253" t="e">
        <f>+Zał.1_WPF_bazowy!#REF!</f>
        <v>#REF!</v>
      </c>
      <c r="Z28" s="253" t="e">
        <f>+Zał.1_WPF_bazowy!#REF!</f>
        <v>#REF!</v>
      </c>
      <c r="AA28" s="253" t="e">
        <f>+Zał.1_WPF_bazowy!#REF!</f>
        <v>#REF!</v>
      </c>
      <c r="AB28" s="253" t="e">
        <f>+Zał.1_WPF_bazowy!#REF!</f>
        <v>#REF!</v>
      </c>
      <c r="AC28" s="253" t="e">
        <f>+Zał.1_WPF_bazowy!#REF!</f>
        <v>#REF!</v>
      </c>
      <c r="AD28" s="253" t="e">
        <f>+Zał.1_WPF_bazowy!#REF!</f>
        <v>#REF!</v>
      </c>
      <c r="AE28" s="253" t="e">
        <f>+Zał.1_WPF_bazowy!#REF!</f>
        <v>#REF!</v>
      </c>
      <c r="AF28" s="253" t="e">
        <f>+Zał.1_WPF_bazowy!#REF!</f>
        <v>#REF!</v>
      </c>
      <c r="AG28" s="253" t="e">
        <f>+Zał.1_WPF_bazowy!#REF!</f>
        <v>#REF!</v>
      </c>
      <c r="AH28" s="253" t="e">
        <f>+Zał.1_WPF_bazowy!#REF!</f>
        <v>#REF!</v>
      </c>
      <c r="AI28" s="253" t="e">
        <f>+Zał.1_WPF_bazowy!#REF!</f>
        <v>#REF!</v>
      </c>
      <c r="AJ28" s="253" t="e">
        <f>+Zał.1_WPF_bazowy!#REF!</f>
        <v>#REF!</v>
      </c>
      <c r="AK28" s="253" t="e">
        <f>+Zał.1_WPF_bazowy!#REF!</f>
        <v>#REF!</v>
      </c>
      <c r="AL28" s="254" t="e">
        <f>+Zał.1_WPF_bazowy!#REF!</f>
        <v>#REF!</v>
      </c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</row>
    <row r="29" spans="1:253" s="101" customFormat="1" ht="24" outlineLevel="2">
      <c r="A29" s="309" t="s">
        <v>28</v>
      </c>
      <c r="B29" s="32" t="s">
        <v>370</v>
      </c>
      <c r="C29" s="99"/>
      <c r="D29" s="373" t="s">
        <v>443</v>
      </c>
      <c r="E29" s="197">
        <f>Zał.1_WPF_bazowy!E29</f>
        <v>0</v>
      </c>
      <c r="F29" s="198">
        <f>Zał.1_WPF_bazowy!F29</f>
        <v>0</v>
      </c>
      <c r="G29" s="198">
        <f>Zał.1_WPF_bazowy!G29</f>
        <v>0</v>
      </c>
      <c r="H29" s="251">
        <f>Zał.1_WPF_bazowy!H29</f>
        <v>0</v>
      </c>
      <c r="I29" s="252">
        <f>+Zał.1_WPF_bazowy!I29</f>
        <v>0</v>
      </c>
      <c r="J29" s="253">
        <f>+Zał.1_WPF_bazowy!J29</f>
        <v>0</v>
      </c>
      <c r="K29" s="253">
        <f>+Zał.1_WPF_bazowy!K29</f>
        <v>0</v>
      </c>
      <c r="L29" s="253">
        <f>+Zał.1_WPF_bazowy!L29</f>
        <v>0</v>
      </c>
      <c r="M29" s="253" t="e">
        <f>+Zał.1_WPF_bazowy!#REF!</f>
        <v>#REF!</v>
      </c>
      <c r="N29" s="253" t="e">
        <f>+Zał.1_WPF_bazowy!#REF!</f>
        <v>#REF!</v>
      </c>
      <c r="O29" s="253" t="e">
        <f>+Zał.1_WPF_bazowy!#REF!</f>
        <v>#REF!</v>
      </c>
      <c r="P29" s="253" t="e">
        <f>+Zał.1_WPF_bazowy!#REF!</f>
        <v>#REF!</v>
      </c>
      <c r="Q29" s="253" t="e">
        <f>+Zał.1_WPF_bazowy!#REF!</f>
        <v>#REF!</v>
      </c>
      <c r="R29" s="253" t="e">
        <f>+Zał.1_WPF_bazowy!#REF!</f>
        <v>#REF!</v>
      </c>
      <c r="S29" s="253" t="e">
        <f>+Zał.1_WPF_bazowy!#REF!</f>
        <v>#REF!</v>
      </c>
      <c r="T29" s="253" t="e">
        <f>+Zał.1_WPF_bazowy!#REF!</f>
        <v>#REF!</v>
      </c>
      <c r="U29" s="253" t="e">
        <f>+Zał.1_WPF_bazowy!#REF!</f>
        <v>#REF!</v>
      </c>
      <c r="V29" s="253" t="e">
        <f>+Zał.1_WPF_bazowy!#REF!</f>
        <v>#REF!</v>
      </c>
      <c r="W29" s="253" t="e">
        <f>+Zał.1_WPF_bazowy!#REF!</f>
        <v>#REF!</v>
      </c>
      <c r="X29" s="253" t="e">
        <f>+Zał.1_WPF_bazowy!#REF!</f>
        <v>#REF!</v>
      </c>
      <c r="Y29" s="253" t="e">
        <f>+Zał.1_WPF_bazowy!#REF!</f>
        <v>#REF!</v>
      </c>
      <c r="Z29" s="253" t="e">
        <f>+Zał.1_WPF_bazowy!#REF!</f>
        <v>#REF!</v>
      </c>
      <c r="AA29" s="253" t="e">
        <f>+Zał.1_WPF_bazowy!#REF!</f>
        <v>#REF!</v>
      </c>
      <c r="AB29" s="253" t="e">
        <f>+Zał.1_WPF_bazowy!#REF!</f>
        <v>#REF!</v>
      </c>
      <c r="AC29" s="253" t="e">
        <f>+Zał.1_WPF_bazowy!#REF!</f>
        <v>#REF!</v>
      </c>
      <c r="AD29" s="253" t="e">
        <f>+Zał.1_WPF_bazowy!#REF!</f>
        <v>#REF!</v>
      </c>
      <c r="AE29" s="253" t="e">
        <f>+Zał.1_WPF_bazowy!#REF!</f>
        <v>#REF!</v>
      </c>
      <c r="AF29" s="253" t="e">
        <f>+Zał.1_WPF_bazowy!#REF!</f>
        <v>#REF!</v>
      </c>
      <c r="AG29" s="253" t="e">
        <f>+Zał.1_WPF_bazowy!#REF!</f>
        <v>#REF!</v>
      </c>
      <c r="AH29" s="253" t="e">
        <f>+Zał.1_WPF_bazowy!#REF!</f>
        <v>#REF!</v>
      </c>
      <c r="AI29" s="253" t="e">
        <f>+Zał.1_WPF_bazowy!#REF!</f>
        <v>#REF!</v>
      </c>
      <c r="AJ29" s="253" t="e">
        <f>+Zał.1_WPF_bazowy!#REF!</f>
        <v>#REF!</v>
      </c>
      <c r="AK29" s="253" t="e">
        <f>+Zał.1_WPF_bazowy!#REF!</f>
        <v>#REF!</v>
      </c>
      <c r="AL29" s="254" t="e">
        <f>+Zał.1_WPF_bazowy!#REF!</f>
        <v>#REF!</v>
      </c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</row>
    <row r="30" spans="1:253" s="101" customFormat="1" outlineLevel="2">
      <c r="A30" s="309" t="s">
        <v>28</v>
      </c>
      <c r="B30" s="32" t="s">
        <v>139</v>
      </c>
      <c r="C30" s="99"/>
      <c r="D30" s="294" t="s">
        <v>20</v>
      </c>
      <c r="E30" s="197">
        <f>Zał.1_WPF_bazowy!E30</f>
        <v>3624050.32</v>
      </c>
      <c r="F30" s="198">
        <f>Zał.1_WPF_bazowy!F30</f>
        <v>2425876</v>
      </c>
      <c r="G30" s="198">
        <f>Zał.1_WPF_bazowy!G30</f>
        <v>4625376</v>
      </c>
      <c r="H30" s="251">
        <f>Zał.1_WPF_bazowy!H30</f>
        <v>4393188.7</v>
      </c>
      <c r="I30" s="252">
        <f>+Zał.1_WPF_bazowy!I30</f>
        <v>4714500</v>
      </c>
      <c r="J30" s="253">
        <f>+Zał.1_WPF_bazowy!J30</f>
        <v>1685000</v>
      </c>
      <c r="K30" s="253">
        <f>+Zał.1_WPF_bazowy!K30</f>
        <v>2682000</v>
      </c>
      <c r="L30" s="253">
        <f>+Zał.1_WPF_bazowy!L30</f>
        <v>2570000</v>
      </c>
      <c r="M30" s="253" t="e">
        <f>+Zał.1_WPF_bazowy!#REF!</f>
        <v>#REF!</v>
      </c>
      <c r="N30" s="253" t="e">
        <f>+Zał.1_WPF_bazowy!#REF!</f>
        <v>#REF!</v>
      </c>
      <c r="O30" s="253" t="e">
        <f>+Zał.1_WPF_bazowy!#REF!</f>
        <v>#REF!</v>
      </c>
      <c r="P30" s="253" t="e">
        <f>+Zał.1_WPF_bazowy!#REF!</f>
        <v>#REF!</v>
      </c>
      <c r="Q30" s="253" t="e">
        <f>+Zał.1_WPF_bazowy!#REF!</f>
        <v>#REF!</v>
      </c>
      <c r="R30" s="253" t="e">
        <f>+Zał.1_WPF_bazowy!#REF!</f>
        <v>#REF!</v>
      </c>
      <c r="S30" s="253" t="e">
        <f>+Zał.1_WPF_bazowy!#REF!</f>
        <v>#REF!</v>
      </c>
      <c r="T30" s="253" t="e">
        <f>+Zał.1_WPF_bazowy!#REF!</f>
        <v>#REF!</v>
      </c>
      <c r="U30" s="253" t="e">
        <f>+Zał.1_WPF_bazowy!#REF!</f>
        <v>#REF!</v>
      </c>
      <c r="V30" s="253" t="e">
        <f>+Zał.1_WPF_bazowy!#REF!</f>
        <v>#REF!</v>
      </c>
      <c r="W30" s="253" t="e">
        <f>+Zał.1_WPF_bazowy!#REF!</f>
        <v>#REF!</v>
      </c>
      <c r="X30" s="253" t="e">
        <f>+Zał.1_WPF_bazowy!#REF!</f>
        <v>#REF!</v>
      </c>
      <c r="Y30" s="253" t="e">
        <f>+Zał.1_WPF_bazowy!#REF!</f>
        <v>#REF!</v>
      </c>
      <c r="Z30" s="253" t="e">
        <f>+Zał.1_WPF_bazowy!#REF!</f>
        <v>#REF!</v>
      </c>
      <c r="AA30" s="253" t="e">
        <f>+Zał.1_WPF_bazowy!#REF!</f>
        <v>#REF!</v>
      </c>
      <c r="AB30" s="253" t="e">
        <f>+Zał.1_WPF_bazowy!#REF!</f>
        <v>#REF!</v>
      </c>
      <c r="AC30" s="253" t="e">
        <f>+Zał.1_WPF_bazowy!#REF!</f>
        <v>#REF!</v>
      </c>
      <c r="AD30" s="253" t="e">
        <f>+Zał.1_WPF_bazowy!#REF!</f>
        <v>#REF!</v>
      </c>
      <c r="AE30" s="253" t="e">
        <f>+Zał.1_WPF_bazowy!#REF!</f>
        <v>#REF!</v>
      </c>
      <c r="AF30" s="253" t="e">
        <f>+Zał.1_WPF_bazowy!#REF!</f>
        <v>#REF!</v>
      </c>
      <c r="AG30" s="253" t="e">
        <f>+Zał.1_WPF_bazowy!#REF!</f>
        <v>#REF!</v>
      </c>
      <c r="AH30" s="253" t="e">
        <f>+Zał.1_WPF_bazowy!#REF!</f>
        <v>#REF!</v>
      </c>
      <c r="AI30" s="253" t="e">
        <f>+Zał.1_WPF_bazowy!#REF!</f>
        <v>#REF!</v>
      </c>
      <c r="AJ30" s="253" t="e">
        <f>+Zał.1_WPF_bazowy!#REF!</f>
        <v>#REF!</v>
      </c>
      <c r="AK30" s="253" t="e">
        <f>+Zał.1_WPF_bazowy!#REF!</f>
        <v>#REF!</v>
      </c>
      <c r="AL30" s="254" t="e">
        <f>+Zał.1_WPF_bazowy!#REF!</f>
        <v>#REF!</v>
      </c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</row>
    <row r="31" spans="1:253" s="97" customFormat="1" ht="15" outlineLevel="1">
      <c r="A31" s="309" t="s">
        <v>28</v>
      </c>
      <c r="B31" s="31">
        <v>3</v>
      </c>
      <c r="C31" s="366" t="s">
        <v>372</v>
      </c>
      <c r="D31" s="293" t="s">
        <v>21</v>
      </c>
      <c r="E31" s="195">
        <f>Zał.1_WPF_bazowy!E31</f>
        <v>-1100222.42</v>
      </c>
      <c r="F31" s="196">
        <f>Zał.1_WPF_bazowy!F31</f>
        <v>2580481.7200000002</v>
      </c>
      <c r="G31" s="196">
        <f>Zał.1_WPF_bazowy!G31</f>
        <v>-1113306.28</v>
      </c>
      <c r="H31" s="73">
        <f>+H10-H21</f>
        <v>-1069250.1399999987</v>
      </c>
      <c r="I31" s="71">
        <f>+I10-I21</f>
        <v>29625.189999999478</v>
      </c>
      <c r="J31" s="72">
        <f t="shared" ref="J31:AL31" si="3">+J10-J21</f>
        <v>0</v>
      </c>
      <c r="K31" s="72">
        <f t="shared" si="3"/>
        <v>0</v>
      </c>
      <c r="L31" s="72">
        <f t="shared" si="3"/>
        <v>0</v>
      </c>
      <c r="M31" s="72" t="e">
        <f t="shared" si="3"/>
        <v>#REF!</v>
      </c>
      <c r="N31" s="72" t="e">
        <f t="shared" si="3"/>
        <v>#REF!</v>
      </c>
      <c r="O31" s="72" t="e">
        <f t="shared" si="3"/>
        <v>#REF!</v>
      </c>
      <c r="P31" s="72" t="e">
        <f t="shared" si="3"/>
        <v>#REF!</v>
      </c>
      <c r="Q31" s="72" t="e">
        <f t="shared" si="3"/>
        <v>#REF!</v>
      </c>
      <c r="R31" s="72" t="e">
        <f t="shared" si="3"/>
        <v>#REF!</v>
      </c>
      <c r="S31" s="72" t="e">
        <f t="shared" si="3"/>
        <v>#REF!</v>
      </c>
      <c r="T31" s="72" t="e">
        <f t="shared" si="3"/>
        <v>#REF!</v>
      </c>
      <c r="U31" s="72" t="e">
        <f t="shared" si="3"/>
        <v>#REF!</v>
      </c>
      <c r="V31" s="72" t="e">
        <f t="shared" si="3"/>
        <v>#REF!</v>
      </c>
      <c r="W31" s="72" t="e">
        <f t="shared" si="3"/>
        <v>#REF!</v>
      </c>
      <c r="X31" s="72" t="e">
        <f t="shared" si="3"/>
        <v>#REF!</v>
      </c>
      <c r="Y31" s="72" t="e">
        <f t="shared" si="3"/>
        <v>#REF!</v>
      </c>
      <c r="Z31" s="72" t="e">
        <f t="shared" si="3"/>
        <v>#REF!</v>
      </c>
      <c r="AA31" s="72" t="e">
        <f t="shared" si="3"/>
        <v>#REF!</v>
      </c>
      <c r="AB31" s="72" t="e">
        <f t="shared" si="3"/>
        <v>#REF!</v>
      </c>
      <c r="AC31" s="72" t="e">
        <f t="shared" si="3"/>
        <v>#REF!</v>
      </c>
      <c r="AD31" s="72" t="e">
        <f t="shared" si="3"/>
        <v>#REF!</v>
      </c>
      <c r="AE31" s="72" t="e">
        <f t="shared" si="3"/>
        <v>#REF!</v>
      </c>
      <c r="AF31" s="72" t="e">
        <f t="shared" si="3"/>
        <v>#REF!</v>
      </c>
      <c r="AG31" s="72" t="e">
        <f t="shared" si="3"/>
        <v>#REF!</v>
      </c>
      <c r="AH31" s="72" t="e">
        <f t="shared" si="3"/>
        <v>#REF!</v>
      </c>
      <c r="AI31" s="72" t="e">
        <f t="shared" si="3"/>
        <v>#REF!</v>
      </c>
      <c r="AJ31" s="72" t="e">
        <f t="shared" si="3"/>
        <v>#REF!</v>
      </c>
      <c r="AK31" s="72" t="e">
        <f t="shared" si="3"/>
        <v>#REF!</v>
      </c>
      <c r="AL31" s="73" t="e">
        <f t="shared" si="3"/>
        <v>#REF!</v>
      </c>
    </row>
    <row r="32" spans="1:253" s="97" customFormat="1" ht="15" outlineLevel="1">
      <c r="A32" s="309" t="s">
        <v>28</v>
      </c>
      <c r="B32" s="31">
        <v>4</v>
      </c>
      <c r="C32" s="366" t="s">
        <v>373</v>
      </c>
      <c r="D32" s="293" t="s">
        <v>22</v>
      </c>
      <c r="E32" s="195">
        <f>Zał.1_WPF_bazowy!E32</f>
        <v>2625223.85</v>
      </c>
      <c r="F32" s="196">
        <f>Zał.1_WPF_bazowy!F32</f>
        <v>1050519.3700000001</v>
      </c>
      <c r="G32" s="196">
        <f>Zał.1_WPF_bazowy!G32</f>
        <v>1850827.74</v>
      </c>
      <c r="H32" s="73">
        <f>+H33+H35+H37+H39</f>
        <v>2496104.7399999998</v>
      </c>
      <c r="I32" s="71">
        <f>+I33+I35+I37+I39</f>
        <v>769331</v>
      </c>
      <c r="J32" s="72">
        <f t="shared" ref="J32:AL32" si="4">+J33+J35+J37+J39</f>
        <v>0</v>
      </c>
      <c r="K32" s="72">
        <f t="shared" si="4"/>
        <v>0</v>
      </c>
      <c r="L32" s="72">
        <f t="shared" si="4"/>
        <v>0</v>
      </c>
      <c r="M32" s="72" t="e">
        <f t="shared" si="4"/>
        <v>#REF!</v>
      </c>
      <c r="N32" s="72" t="e">
        <f t="shared" si="4"/>
        <v>#REF!</v>
      </c>
      <c r="O32" s="72" t="e">
        <f t="shared" si="4"/>
        <v>#REF!</v>
      </c>
      <c r="P32" s="72" t="e">
        <f t="shared" si="4"/>
        <v>#REF!</v>
      </c>
      <c r="Q32" s="72" t="e">
        <f t="shared" si="4"/>
        <v>#REF!</v>
      </c>
      <c r="R32" s="72" t="e">
        <f t="shared" si="4"/>
        <v>#REF!</v>
      </c>
      <c r="S32" s="72" t="e">
        <f t="shared" si="4"/>
        <v>#REF!</v>
      </c>
      <c r="T32" s="72" t="e">
        <f t="shared" si="4"/>
        <v>#REF!</v>
      </c>
      <c r="U32" s="72" t="e">
        <f t="shared" si="4"/>
        <v>#REF!</v>
      </c>
      <c r="V32" s="72" t="e">
        <f t="shared" si="4"/>
        <v>#REF!</v>
      </c>
      <c r="W32" s="72" t="e">
        <f t="shared" si="4"/>
        <v>#REF!</v>
      </c>
      <c r="X32" s="72" t="e">
        <f t="shared" si="4"/>
        <v>#REF!</v>
      </c>
      <c r="Y32" s="72" t="e">
        <f t="shared" si="4"/>
        <v>#REF!</v>
      </c>
      <c r="Z32" s="72" t="e">
        <f t="shared" si="4"/>
        <v>#REF!</v>
      </c>
      <c r="AA32" s="72" t="e">
        <f t="shared" si="4"/>
        <v>#REF!</v>
      </c>
      <c r="AB32" s="72" t="e">
        <f t="shared" si="4"/>
        <v>#REF!</v>
      </c>
      <c r="AC32" s="72" t="e">
        <f t="shared" si="4"/>
        <v>#REF!</v>
      </c>
      <c r="AD32" s="72" t="e">
        <f t="shared" si="4"/>
        <v>#REF!</v>
      </c>
      <c r="AE32" s="72" t="e">
        <f t="shared" si="4"/>
        <v>#REF!</v>
      </c>
      <c r="AF32" s="72" t="e">
        <f t="shared" si="4"/>
        <v>#REF!</v>
      </c>
      <c r="AG32" s="72" t="e">
        <f t="shared" si="4"/>
        <v>#REF!</v>
      </c>
      <c r="AH32" s="72" t="e">
        <f t="shared" si="4"/>
        <v>#REF!</v>
      </c>
      <c r="AI32" s="72" t="e">
        <f t="shared" si="4"/>
        <v>#REF!</v>
      </c>
      <c r="AJ32" s="72" t="e">
        <f t="shared" si="4"/>
        <v>#REF!</v>
      </c>
      <c r="AK32" s="72" t="e">
        <f t="shared" si="4"/>
        <v>#REF!</v>
      </c>
      <c r="AL32" s="73" t="e">
        <f t="shared" si="4"/>
        <v>#REF!</v>
      </c>
    </row>
    <row r="33" spans="1:253" outlineLevel="2">
      <c r="A33" s="309" t="s">
        <v>28</v>
      </c>
      <c r="B33" s="32" t="s">
        <v>140</v>
      </c>
      <c r="C33" s="99"/>
      <c r="D33" s="294" t="s">
        <v>362</v>
      </c>
      <c r="E33" s="197">
        <f>Zał.1_WPF_bazowy!E33</f>
        <v>0</v>
      </c>
      <c r="F33" s="198">
        <f>Zał.1_WPF_bazowy!F33</f>
        <v>0</v>
      </c>
      <c r="G33" s="198">
        <f>Zał.1_WPF_bazowy!G33</f>
        <v>314668.09000000003</v>
      </c>
      <c r="H33" s="251">
        <f>Zał.1_WPF_bazowy!H33</f>
        <v>959945.09</v>
      </c>
      <c r="I33" s="252">
        <f>+Zał.1_WPF_bazowy!I33</f>
        <v>0</v>
      </c>
      <c r="J33" s="253">
        <f>+Zał.1_WPF_bazowy!J33</f>
        <v>0</v>
      </c>
      <c r="K33" s="253">
        <f>+Zał.1_WPF_bazowy!K33</f>
        <v>0</v>
      </c>
      <c r="L33" s="253">
        <f>+Zał.1_WPF_bazowy!L33</f>
        <v>0</v>
      </c>
      <c r="M33" s="253" t="e">
        <f>+Zał.1_WPF_bazowy!#REF!</f>
        <v>#REF!</v>
      </c>
      <c r="N33" s="253" t="e">
        <f>+Zał.1_WPF_bazowy!#REF!</f>
        <v>#REF!</v>
      </c>
      <c r="O33" s="253" t="e">
        <f>+Zał.1_WPF_bazowy!#REF!</f>
        <v>#REF!</v>
      </c>
      <c r="P33" s="253" t="e">
        <f>+Zał.1_WPF_bazowy!#REF!</f>
        <v>#REF!</v>
      </c>
      <c r="Q33" s="253" t="e">
        <f>+Zał.1_WPF_bazowy!#REF!</f>
        <v>#REF!</v>
      </c>
      <c r="R33" s="253" t="e">
        <f>+Zał.1_WPF_bazowy!#REF!</f>
        <v>#REF!</v>
      </c>
      <c r="S33" s="253" t="e">
        <f>+Zał.1_WPF_bazowy!#REF!</f>
        <v>#REF!</v>
      </c>
      <c r="T33" s="253" t="e">
        <f>+Zał.1_WPF_bazowy!#REF!</f>
        <v>#REF!</v>
      </c>
      <c r="U33" s="253" t="e">
        <f>+Zał.1_WPF_bazowy!#REF!</f>
        <v>#REF!</v>
      </c>
      <c r="V33" s="253" t="e">
        <f>+Zał.1_WPF_bazowy!#REF!</f>
        <v>#REF!</v>
      </c>
      <c r="W33" s="253" t="e">
        <f>+Zał.1_WPF_bazowy!#REF!</f>
        <v>#REF!</v>
      </c>
      <c r="X33" s="253" t="e">
        <f>+Zał.1_WPF_bazowy!#REF!</f>
        <v>#REF!</v>
      </c>
      <c r="Y33" s="253" t="e">
        <f>+Zał.1_WPF_bazowy!#REF!</f>
        <v>#REF!</v>
      </c>
      <c r="Z33" s="253" t="e">
        <f>+Zał.1_WPF_bazowy!#REF!</f>
        <v>#REF!</v>
      </c>
      <c r="AA33" s="253" t="e">
        <f>+Zał.1_WPF_bazowy!#REF!</f>
        <v>#REF!</v>
      </c>
      <c r="AB33" s="253" t="e">
        <f>+Zał.1_WPF_bazowy!#REF!</f>
        <v>#REF!</v>
      </c>
      <c r="AC33" s="253" t="e">
        <f>+Zał.1_WPF_bazowy!#REF!</f>
        <v>#REF!</v>
      </c>
      <c r="AD33" s="253" t="e">
        <f>+Zał.1_WPF_bazowy!#REF!</f>
        <v>#REF!</v>
      </c>
      <c r="AE33" s="253" t="e">
        <f>+Zał.1_WPF_bazowy!#REF!</f>
        <v>#REF!</v>
      </c>
      <c r="AF33" s="253" t="e">
        <f>+Zał.1_WPF_bazowy!#REF!</f>
        <v>#REF!</v>
      </c>
      <c r="AG33" s="253" t="e">
        <f>+Zał.1_WPF_bazowy!#REF!</f>
        <v>#REF!</v>
      </c>
      <c r="AH33" s="253" t="e">
        <f>+Zał.1_WPF_bazowy!#REF!</f>
        <v>#REF!</v>
      </c>
      <c r="AI33" s="253" t="e">
        <f>+Zał.1_WPF_bazowy!#REF!</f>
        <v>#REF!</v>
      </c>
      <c r="AJ33" s="253" t="e">
        <f>+Zał.1_WPF_bazowy!#REF!</f>
        <v>#REF!</v>
      </c>
      <c r="AK33" s="253" t="e">
        <f>+Zał.1_WPF_bazowy!#REF!</f>
        <v>#REF!</v>
      </c>
      <c r="AL33" s="254" t="e">
        <f>+Zał.1_WPF_bazowy!#REF!</f>
        <v>#REF!</v>
      </c>
    </row>
    <row r="34" spans="1:253" outlineLevel="2">
      <c r="A34" s="309" t="s">
        <v>28</v>
      </c>
      <c r="B34" s="32" t="s">
        <v>67</v>
      </c>
      <c r="C34" s="99"/>
      <c r="D34" s="295" t="s">
        <v>485</v>
      </c>
      <c r="E34" s="197">
        <f>Zał.1_WPF_bazowy!E34</f>
        <v>0</v>
      </c>
      <c r="F34" s="198">
        <f>Zał.1_WPF_bazowy!F34</f>
        <v>0</v>
      </c>
      <c r="G34" s="198">
        <f>Zał.1_WPF_bazowy!G34</f>
        <v>0</v>
      </c>
      <c r="H34" s="251">
        <f>Zał.1_WPF_bazowy!H34</f>
        <v>247105.63</v>
      </c>
      <c r="I34" s="252">
        <f>+Zał.1_WPF_bazowy!I34</f>
        <v>0</v>
      </c>
      <c r="J34" s="253">
        <f>+Zał.1_WPF_bazowy!J34</f>
        <v>0</v>
      </c>
      <c r="K34" s="253">
        <f>+Zał.1_WPF_bazowy!K34</f>
        <v>0</v>
      </c>
      <c r="L34" s="253">
        <f>+Zał.1_WPF_bazowy!L34</f>
        <v>0</v>
      </c>
      <c r="M34" s="253" t="e">
        <f>+Zał.1_WPF_bazowy!#REF!</f>
        <v>#REF!</v>
      </c>
      <c r="N34" s="253" t="e">
        <f>+Zał.1_WPF_bazowy!#REF!</f>
        <v>#REF!</v>
      </c>
      <c r="O34" s="253" t="e">
        <f>+Zał.1_WPF_bazowy!#REF!</f>
        <v>#REF!</v>
      </c>
      <c r="P34" s="253" t="e">
        <f>+Zał.1_WPF_bazowy!#REF!</f>
        <v>#REF!</v>
      </c>
      <c r="Q34" s="253" t="e">
        <f>+Zał.1_WPF_bazowy!#REF!</f>
        <v>#REF!</v>
      </c>
      <c r="R34" s="253" t="e">
        <f>+Zał.1_WPF_bazowy!#REF!</f>
        <v>#REF!</v>
      </c>
      <c r="S34" s="253" t="e">
        <f>+Zał.1_WPF_bazowy!#REF!</f>
        <v>#REF!</v>
      </c>
      <c r="T34" s="253" t="e">
        <f>+Zał.1_WPF_bazowy!#REF!</f>
        <v>#REF!</v>
      </c>
      <c r="U34" s="253" t="e">
        <f>+Zał.1_WPF_bazowy!#REF!</f>
        <v>#REF!</v>
      </c>
      <c r="V34" s="253" t="e">
        <f>+Zał.1_WPF_bazowy!#REF!</f>
        <v>#REF!</v>
      </c>
      <c r="W34" s="253" t="e">
        <f>+Zał.1_WPF_bazowy!#REF!</f>
        <v>#REF!</v>
      </c>
      <c r="X34" s="253" t="e">
        <f>+Zał.1_WPF_bazowy!#REF!</f>
        <v>#REF!</v>
      </c>
      <c r="Y34" s="253" t="e">
        <f>+Zał.1_WPF_bazowy!#REF!</f>
        <v>#REF!</v>
      </c>
      <c r="Z34" s="253" t="e">
        <f>+Zał.1_WPF_bazowy!#REF!</f>
        <v>#REF!</v>
      </c>
      <c r="AA34" s="253" t="e">
        <f>+Zał.1_WPF_bazowy!#REF!</f>
        <v>#REF!</v>
      </c>
      <c r="AB34" s="253" t="e">
        <f>+Zał.1_WPF_bazowy!#REF!</f>
        <v>#REF!</v>
      </c>
      <c r="AC34" s="253" t="e">
        <f>+Zał.1_WPF_bazowy!#REF!</f>
        <v>#REF!</v>
      </c>
      <c r="AD34" s="253" t="e">
        <f>+Zał.1_WPF_bazowy!#REF!</f>
        <v>#REF!</v>
      </c>
      <c r="AE34" s="253" t="e">
        <f>+Zał.1_WPF_bazowy!#REF!</f>
        <v>#REF!</v>
      </c>
      <c r="AF34" s="253" t="e">
        <f>+Zał.1_WPF_bazowy!#REF!</f>
        <v>#REF!</v>
      </c>
      <c r="AG34" s="253" t="e">
        <f>+Zał.1_WPF_bazowy!#REF!</f>
        <v>#REF!</v>
      </c>
      <c r="AH34" s="253" t="e">
        <f>+Zał.1_WPF_bazowy!#REF!</f>
        <v>#REF!</v>
      </c>
      <c r="AI34" s="253" t="e">
        <f>+Zał.1_WPF_bazowy!#REF!</f>
        <v>#REF!</v>
      </c>
      <c r="AJ34" s="253" t="e">
        <f>+Zał.1_WPF_bazowy!#REF!</f>
        <v>#REF!</v>
      </c>
      <c r="AK34" s="253" t="e">
        <f>+Zał.1_WPF_bazowy!#REF!</f>
        <v>#REF!</v>
      </c>
      <c r="AL34" s="254" t="e">
        <f>+Zał.1_WPF_bazowy!#REF!</f>
        <v>#REF!</v>
      </c>
    </row>
    <row r="35" spans="1:253" outlineLevel="2">
      <c r="A35" s="309" t="s">
        <v>28</v>
      </c>
      <c r="B35" s="32" t="s">
        <v>141</v>
      </c>
      <c r="C35" s="99"/>
      <c r="D35" s="294" t="s">
        <v>361</v>
      </c>
      <c r="E35" s="197">
        <f>Zał.1_WPF_bazowy!E35</f>
        <v>186016.39</v>
      </c>
      <c r="F35" s="198">
        <f>Zał.1_WPF_bazowy!F35</f>
        <v>902519.37</v>
      </c>
      <c r="G35" s="198">
        <f>Zał.1_WPF_bazowy!G35</f>
        <v>1422477.65</v>
      </c>
      <c r="H35" s="251">
        <f>Zał.1_WPF_bazowy!H35</f>
        <v>1422477.65</v>
      </c>
      <c r="I35" s="252">
        <f>+Zał.1_WPF_bazowy!I35</f>
        <v>769331</v>
      </c>
      <c r="J35" s="253">
        <f>+Zał.1_WPF_bazowy!J35</f>
        <v>0</v>
      </c>
      <c r="K35" s="253">
        <f>+Zał.1_WPF_bazowy!K35</f>
        <v>0</v>
      </c>
      <c r="L35" s="253">
        <f>+Zał.1_WPF_bazowy!L35</f>
        <v>0</v>
      </c>
      <c r="M35" s="253" t="e">
        <f>+Zał.1_WPF_bazowy!#REF!</f>
        <v>#REF!</v>
      </c>
      <c r="N35" s="253" t="e">
        <f>+Zał.1_WPF_bazowy!#REF!</f>
        <v>#REF!</v>
      </c>
      <c r="O35" s="253" t="e">
        <f>+Zał.1_WPF_bazowy!#REF!</f>
        <v>#REF!</v>
      </c>
      <c r="P35" s="253" t="e">
        <f>+Zał.1_WPF_bazowy!#REF!</f>
        <v>#REF!</v>
      </c>
      <c r="Q35" s="253" t="e">
        <f>+Zał.1_WPF_bazowy!#REF!</f>
        <v>#REF!</v>
      </c>
      <c r="R35" s="253" t="e">
        <f>+Zał.1_WPF_bazowy!#REF!</f>
        <v>#REF!</v>
      </c>
      <c r="S35" s="253" t="e">
        <f>+Zał.1_WPF_bazowy!#REF!</f>
        <v>#REF!</v>
      </c>
      <c r="T35" s="253" t="e">
        <f>+Zał.1_WPF_bazowy!#REF!</f>
        <v>#REF!</v>
      </c>
      <c r="U35" s="253" t="e">
        <f>+Zał.1_WPF_bazowy!#REF!</f>
        <v>#REF!</v>
      </c>
      <c r="V35" s="253" t="e">
        <f>+Zał.1_WPF_bazowy!#REF!</f>
        <v>#REF!</v>
      </c>
      <c r="W35" s="253" t="e">
        <f>+Zał.1_WPF_bazowy!#REF!</f>
        <v>#REF!</v>
      </c>
      <c r="X35" s="253" t="e">
        <f>+Zał.1_WPF_bazowy!#REF!</f>
        <v>#REF!</v>
      </c>
      <c r="Y35" s="253" t="e">
        <f>+Zał.1_WPF_bazowy!#REF!</f>
        <v>#REF!</v>
      </c>
      <c r="Z35" s="253" t="e">
        <f>+Zał.1_WPF_bazowy!#REF!</f>
        <v>#REF!</v>
      </c>
      <c r="AA35" s="253" t="e">
        <f>+Zał.1_WPF_bazowy!#REF!</f>
        <v>#REF!</v>
      </c>
      <c r="AB35" s="253" t="e">
        <f>+Zał.1_WPF_bazowy!#REF!</f>
        <v>#REF!</v>
      </c>
      <c r="AC35" s="253" t="e">
        <f>+Zał.1_WPF_bazowy!#REF!</f>
        <v>#REF!</v>
      </c>
      <c r="AD35" s="253" t="e">
        <f>+Zał.1_WPF_bazowy!#REF!</f>
        <v>#REF!</v>
      </c>
      <c r="AE35" s="253" t="e">
        <f>+Zał.1_WPF_bazowy!#REF!</f>
        <v>#REF!</v>
      </c>
      <c r="AF35" s="253" t="e">
        <f>+Zał.1_WPF_bazowy!#REF!</f>
        <v>#REF!</v>
      </c>
      <c r="AG35" s="253" t="e">
        <f>+Zał.1_WPF_bazowy!#REF!</f>
        <v>#REF!</v>
      </c>
      <c r="AH35" s="253" t="e">
        <f>+Zał.1_WPF_bazowy!#REF!</f>
        <v>#REF!</v>
      </c>
      <c r="AI35" s="253" t="e">
        <f>+Zał.1_WPF_bazowy!#REF!</f>
        <v>#REF!</v>
      </c>
      <c r="AJ35" s="253" t="e">
        <f>+Zał.1_WPF_bazowy!#REF!</f>
        <v>#REF!</v>
      </c>
      <c r="AK35" s="253" t="e">
        <f>+Zał.1_WPF_bazowy!#REF!</f>
        <v>#REF!</v>
      </c>
      <c r="AL35" s="254" t="e">
        <f>+Zał.1_WPF_bazowy!#REF!</f>
        <v>#REF!</v>
      </c>
    </row>
    <row r="36" spans="1:253" outlineLevel="2">
      <c r="A36" s="309" t="s">
        <v>28</v>
      </c>
      <c r="B36" s="32" t="s">
        <v>70</v>
      </c>
      <c r="C36" s="99"/>
      <c r="D36" s="295" t="s">
        <v>485</v>
      </c>
      <c r="E36" s="197">
        <f>Zał.1_WPF_bazowy!E36</f>
        <v>0</v>
      </c>
      <c r="F36" s="198">
        <f>Zał.1_WPF_bazowy!F36</f>
        <v>0</v>
      </c>
      <c r="G36" s="198">
        <f>Zał.1_WPF_bazowy!G36</f>
        <v>1024306.28</v>
      </c>
      <c r="H36" s="251">
        <f>Zał.1_WPF_bazowy!H36</f>
        <v>733144.51</v>
      </c>
      <c r="I36" s="252">
        <f>+Zał.1_WPF_bazowy!I36</f>
        <v>0</v>
      </c>
      <c r="J36" s="253">
        <f>+Zał.1_WPF_bazowy!J36</f>
        <v>0</v>
      </c>
      <c r="K36" s="253">
        <f>+Zał.1_WPF_bazowy!K36</f>
        <v>0</v>
      </c>
      <c r="L36" s="253">
        <f>+Zał.1_WPF_bazowy!L36</f>
        <v>0</v>
      </c>
      <c r="M36" s="253" t="e">
        <f>+Zał.1_WPF_bazowy!#REF!</f>
        <v>#REF!</v>
      </c>
      <c r="N36" s="253" t="e">
        <f>+Zał.1_WPF_bazowy!#REF!</f>
        <v>#REF!</v>
      </c>
      <c r="O36" s="253" t="e">
        <f>+Zał.1_WPF_bazowy!#REF!</f>
        <v>#REF!</v>
      </c>
      <c r="P36" s="253" t="e">
        <f>+Zał.1_WPF_bazowy!#REF!</f>
        <v>#REF!</v>
      </c>
      <c r="Q36" s="253" t="e">
        <f>+Zał.1_WPF_bazowy!#REF!</f>
        <v>#REF!</v>
      </c>
      <c r="R36" s="253" t="e">
        <f>+Zał.1_WPF_bazowy!#REF!</f>
        <v>#REF!</v>
      </c>
      <c r="S36" s="253" t="e">
        <f>+Zał.1_WPF_bazowy!#REF!</f>
        <v>#REF!</v>
      </c>
      <c r="T36" s="253" t="e">
        <f>+Zał.1_WPF_bazowy!#REF!</f>
        <v>#REF!</v>
      </c>
      <c r="U36" s="253" t="e">
        <f>+Zał.1_WPF_bazowy!#REF!</f>
        <v>#REF!</v>
      </c>
      <c r="V36" s="253" t="e">
        <f>+Zał.1_WPF_bazowy!#REF!</f>
        <v>#REF!</v>
      </c>
      <c r="W36" s="253" t="e">
        <f>+Zał.1_WPF_bazowy!#REF!</f>
        <v>#REF!</v>
      </c>
      <c r="X36" s="253" t="e">
        <f>+Zał.1_WPF_bazowy!#REF!</f>
        <v>#REF!</v>
      </c>
      <c r="Y36" s="253" t="e">
        <f>+Zał.1_WPF_bazowy!#REF!</f>
        <v>#REF!</v>
      </c>
      <c r="Z36" s="253" t="e">
        <f>+Zał.1_WPF_bazowy!#REF!</f>
        <v>#REF!</v>
      </c>
      <c r="AA36" s="253" t="e">
        <f>+Zał.1_WPF_bazowy!#REF!</f>
        <v>#REF!</v>
      </c>
      <c r="AB36" s="253" t="e">
        <f>+Zał.1_WPF_bazowy!#REF!</f>
        <v>#REF!</v>
      </c>
      <c r="AC36" s="253" t="e">
        <f>+Zał.1_WPF_bazowy!#REF!</f>
        <v>#REF!</v>
      </c>
      <c r="AD36" s="253" t="e">
        <f>+Zał.1_WPF_bazowy!#REF!</f>
        <v>#REF!</v>
      </c>
      <c r="AE36" s="253" t="e">
        <f>+Zał.1_WPF_bazowy!#REF!</f>
        <v>#REF!</v>
      </c>
      <c r="AF36" s="253" t="e">
        <f>+Zał.1_WPF_bazowy!#REF!</f>
        <v>#REF!</v>
      </c>
      <c r="AG36" s="253" t="e">
        <f>+Zał.1_WPF_bazowy!#REF!</f>
        <v>#REF!</v>
      </c>
      <c r="AH36" s="253" t="e">
        <f>+Zał.1_WPF_bazowy!#REF!</f>
        <v>#REF!</v>
      </c>
      <c r="AI36" s="253" t="e">
        <f>+Zał.1_WPF_bazowy!#REF!</f>
        <v>#REF!</v>
      </c>
      <c r="AJ36" s="253" t="e">
        <f>+Zał.1_WPF_bazowy!#REF!</f>
        <v>#REF!</v>
      </c>
      <c r="AK36" s="253" t="e">
        <f>+Zał.1_WPF_bazowy!#REF!</f>
        <v>#REF!</v>
      </c>
      <c r="AL36" s="254" t="e">
        <f>+Zał.1_WPF_bazowy!#REF!</f>
        <v>#REF!</v>
      </c>
    </row>
    <row r="37" spans="1:253" outlineLevel="2">
      <c r="A37" s="309" t="s">
        <v>28</v>
      </c>
      <c r="B37" s="32" t="s">
        <v>142</v>
      </c>
      <c r="C37" s="99"/>
      <c r="D37" s="294" t="s">
        <v>486</v>
      </c>
      <c r="E37" s="197">
        <f>Zał.1_WPF_bazowy!E37</f>
        <v>2417813.7400000002</v>
      </c>
      <c r="F37" s="198">
        <f>Zał.1_WPF_bazowy!F37</f>
        <v>148000</v>
      </c>
      <c r="G37" s="198">
        <f>Zał.1_WPF_bazowy!G37</f>
        <v>89000</v>
      </c>
      <c r="H37" s="251">
        <f>Zał.1_WPF_bazowy!H37</f>
        <v>89000</v>
      </c>
      <c r="I37" s="252">
        <f>+Zał.1_WPF_bazowy!I37</f>
        <v>0</v>
      </c>
      <c r="J37" s="253">
        <f>+Zał.1_WPF_bazowy!J37</f>
        <v>0</v>
      </c>
      <c r="K37" s="253">
        <f>+Zał.1_WPF_bazowy!K37</f>
        <v>0</v>
      </c>
      <c r="L37" s="253">
        <f>+Zał.1_WPF_bazowy!L37</f>
        <v>0</v>
      </c>
      <c r="M37" s="253" t="e">
        <f>+Zał.1_WPF_bazowy!#REF!</f>
        <v>#REF!</v>
      </c>
      <c r="N37" s="253" t="e">
        <f>+Zał.1_WPF_bazowy!#REF!</f>
        <v>#REF!</v>
      </c>
      <c r="O37" s="253" t="e">
        <f>+Zał.1_WPF_bazowy!#REF!</f>
        <v>#REF!</v>
      </c>
      <c r="P37" s="253" t="e">
        <f>+Zał.1_WPF_bazowy!#REF!</f>
        <v>#REF!</v>
      </c>
      <c r="Q37" s="253" t="e">
        <f>+Zał.1_WPF_bazowy!#REF!</f>
        <v>#REF!</v>
      </c>
      <c r="R37" s="253" t="e">
        <f>+Zał.1_WPF_bazowy!#REF!</f>
        <v>#REF!</v>
      </c>
      <c r="S37" s="253" t="e">
        <f>+Zał.1_WPF_bazowy!#REF!</f>
        <v>#REF!</v>
      </c>
      <c r="T37" s="253" t="e">
        <f>+Zał.1_WPF_bazowy!#REF!</f>
        <v>#REF!</v>
      </c>
      <c r="U37" s="253" t="e">
        <f>+Zał.1_WPF_bazowy!#REF!</f>
        <v>#REF!</v>
      </c>
      <c r="V37" s="253" t="e">
        <f>+Zał.1_WPF_bazowy!#REF!</f>
        <v>#REF!</v>
      </c>
      <c r="W37" s="253" t="e">
        <f>+Zał.1_WPF_bazowy!#REF!</f>
        <v>#REF!</v>
      </c>
      <c r="X37" s="253" t="e">
        <f>+Zał.1_WPF_bazowy!#REF!</f>
        <v>#REF!</v>
      </c>
      <c r="Y37" s="253" t="e">
        <f>+Zał.1_WPF_bazowy!#REF!</f>
        <v>#REF!</v>
      </c>
      <c r="Z37" s="253" t="e">
        <f>+Zał.1_WPF_bazowy!#REF!</f>
        <v>#REF!</v>
      </c>
      <c r="AA37" s="253" t="e">
        <f>+Zał.1_WPF_bazowy!#REF!</f>
        <v>#REF!</v>
      </c>
      <c r="AB37" s="253" t="e">
        <f>+Zał.1_WPF_bazowy!#REF!</f>
        <v>#REF!</v>
      </c>
      <c r="AC37" s="253" t="e">
        <f>+Zał.1_WPF_bazowy!#REF!</f>
        <v>#REF!</v>
      </c>
      <c r="AD37" s="253" t="e">
        <f>+Zał.1_WPF_bazowy!#REF!</f>
        <v>#REF!</v>
      </c>
      <c r="AE37" s="253" t="e">
        <f>+Zał.1_WPF_bazowy!#REF!</f>
        <v>#REF!</v>
      </c>
      <c r="AF37" s="253" t="e">
        <f>+Zał.1_WPF_bazowy!#REF!</f>
        <v>#REF!</v>
      </c>
      <c r="AG37" s="253" t="e">
        <f>+Zał.1_WPF_bazowy!#REF!</f>
        <v>#REF!</v>
      </c>
      <c r="AH37" s="253" t="e">
        <f>+Zał.1_WPF_bazowy!#REF!</f>
        <v>#REF!</v>
      </c>
      <c r="AI37" s="253" t="e">
        <f>+Zał.1_WPF_bazowy!#REF!</f>
        <v>#REF!</v>
      </c>
      <c r="AJ37" s="253" t="e">
        <f>+Zał.1_WPF_bazowy!#REF!</f>
        <v>#REF!</v>
      </c>
      <c r="AK37" s="253" t="e">
        <f>+Zał.1_WPF_bazowy!#REF!</f>
        <v>#REF!</v>
      </c>
      <c r="AL37" s="254" t="e">
        <f>+Zał.1_WPF_bazowy!#REF!</f>
        <v>#REF!</v>
      </c>
    </row>
    <row r="38" spans="1:253" outlineLevel="2">
      <c r="A38" s="309" t="s">
        <v>28</v>
      </c>
      <c r="B38" s="32" t="s">
        <v>73</v>
      </c>
      <c r="C38" s="99"/>
      <c r="D38" s="295" t="s">
        <v>485</v>
      </c>
      <c r="E38" s="197">
        <f>Zał.1_WPF_bazowy!E38</f>
        <v>1100222.42</v>
      </c>
      <c r="F38" s="198">
        <f>Zał.1_WPF_bazowy!F38</f>
        <v>0</v>
      </c>
      <c r="G38" s="198">
        <f>Zał.1_WPF_bazowy!G38</f>
        <v>89000</v>
      </c>
      <c r="H38" s="251">
        <f>Zał.1_WPF_bazowy!H38</f>
        <v>89000</v>
      </c>
      <c r="I38" s="252">
        <f>+Zał.1_WPF_bazowy!I38</f>
        <v>0</v>
      </c>
      <c r="J38" s="253">
        <f>+Zał.1_WPF_bazowy!J38</f>
        <v>0</v>
      </c>
      <c r="K38" s="253">
        <f>+Zał.1_WPF_bazowy!K38</f>
        <v>0</v>
      </c>
      <c r="L38" s="253">
        <f>+Zał.1_WPF_bazowy!L38</f>
        <v>0</v>
      </c>
      <c r="M38" s="253" t="e">
        <f>+Zał.1_WPF_bazowy!#REF!</f>
        <v>#REF!</v>
      </c>
      <c r="N38" s="253" t="e">
        <f>+Zał.1_WPF_bazowy!#REF!</f>
        <v>#REF!</v>
      </c>
      <c r="O38" s="253" t="e">
        <f>+Zał.1_WPF_bazowy!#REF!</f>
        <v>#REF!</v>
      </c>
      <c r="P38" s="253" t="e">
        <f>+Zał.1_WPF_bazowy!#REF!</f>
        <v>#REF!</v>
      </c>
      <c r="Q38" s="253" t="e">
        <f>+Zał.1_WPF_bazowy!#REF!</f>
        <v>#REF!</v>
      </c>
      <c r="R38" s="253" t="e">
        <f>+Zał.1_WPF_bazowy!#REF!</f>
        <v>#REF!</v>
      </c>
      <c r="S38" s="253" t="e">
        <f>+Zał.1_WPF_bazowy!#REF!</f>
        <v>#REF!</v>
      </c>
      <c r="T38" s="253" t="e">
        <f>+Zał.1_WPF_bazowy!#REF!</f>
        <v>#REF!</v>
      </c>
      <c r="U38" s="253" t="e">
        <f>+Zał.1_WPF_bazowy!#REF!</f>
        <v>#REF!</v>
      </c>
      <c r="V38" s="253" t="e">
        <f>+Zał.1_WPF_bazowy!#REF!</f>
        <v>#REF!</v>
      </c>
      <c r="W38" s="253" t="e">
        <f>+Zał.1_WPF_bazowy!#REF!</f>
        <v>#REF!</v>
      </c>
      <c r="X38" s="253" t="e">
        <f>+Zał.1_WPF_bazowy!#REF!</f>
        <v>#REF!</v>
      </c>
      <c r="Y38" s="253" t="e">
        <f>+Zał.1_WPF_bazowy!#REF!</f>
        <v>#REF!</v>
      </c>
      <c r="Z38" s="253" t="e">
        <f>+Zał.1_WPF_bazowy!#REF!</f>
        <v>#REF!</v>
      </c>
      <c r="AA38" s="253" t="e">
        <f>+Zał.1_WPF_bazowy!#REF!</f>
        <v>#REF!</v>
      </c>
      <c r="AB38" s="253" t="e">
        <f>+Zał.1_WPF_bazowy!#REF!</f>
        <v>#REF!</v>
      </c>
      <c r="AC38" s="253" t="e">
        <f>+Zał.1_WPF_bazowy!#REF!</f>
        <v>#REF!</v>
      </c>
      <c r="AD38" s="253" t="e">
        <f>+Zał.1_WPF_bazowy!#REF!</f>
        <v>#REF!</v>
      </c>
      <c r="AE38" s="253" t="e">
        <f>+Zał.1_WPF_bazowy!#REF!</f>
        <v>#REF!</v>
      </c>
      <c r="AF38" s="253" t="e">
        <f>+Zał.1_WPF_bazowy!#REF!</f>
        <v>#REF!</v>
      </c>
      <c r="AG38" s="253" t="e">
        <f>+Zał.1_WPF_bazowy!#REF!</f>
        <v>#REF!</v>
      </c>
      <c r="AH38" s="253" t="e">
        <f>+Zał.1_WPF_bazowy!#REF!</f>
        <v>#REF!</v>
      </c>
      <c r="AI38" s="253" t="e">
        <f>+Zał.1_WPF_bazowy!#REF!</f>
        <v>#REF!</v>
      </c>
      <c r="AJ38" s="253" t="e">
        <f>+Zał.1_WPF_bazowy!#REF!</f>
        <v>#REF!</v>
      </c>
      <c r="AK38" s="253" t="e">
        <f>+Zał.1_WPF_bazowy!#REF!</f>
        <v>#REF!</v>
      </c>
      <c r="AL38" s="254" t="e">
        <f>+Zał.1_WPF_bazowy!#REF!</f>
        <v>#REF!</v>
      </c>
    </row>
    <row r="39" spans="1:253" outlineLevel="2">
      <c r="A39" s="309" t="s">
        <v>28</v>
      </c>
      <c r="B39" s="32" t="s">
        <v>143</v>
      </c>
      <c r="C39" s="99"/>
      <c r="D39" s="294" t="s">
        <v>74</v>
      </c>
      <c r="E39" s="197">
        <f>Zał.1_WPF_bazowy!E39</f>
        <v>21393.72</v>
      </c>
      <c r="F39" s="198">
        <f>Zał.1_WPF_bazowy!F39</f>
        <v>0</v>
      </c>
      <c r="G39" s="198">
        <f>Zał.1_WPF_bazowy!G39</f>
        <v>24682</v>
      </c>
      <c r="H39" s="251">
        <f>Zał.1_WPF_bazowy!H39</f>
        <v>24682</v>
      </c>
      <c r="I39" s="252">
        <f>+Zał.1_WPF_bazowy!I39</f>
        <v>0</v>
      </c>
      <c r="J39" s="253">
        <f>+Zał.1_WPF_bazowy!J39</f>
        <v>0</v>
      </c>
      <c r="K39" s="253">
        <f>+Zał.1_WPF_bazowy!K39</f>
        <v>0</v>
      </c>
      <c r="L39" s="253">
        <f>+Zał.1_WPF_bazowy!L39</f>
        <v>0</v>
      </c>
      <c r="M39" s="253" t="e">
        <f>+Zał.1_WPF_bazowy!#REF!</f>
        <v>#REF!</v>
      </c>
      <c r="N39" s="253" t="e">
        <f>+Zał.1_WPF_bazowy!#REF!</f>
        <v>#REF!</v>
      </c>
      <c r="O39" s="253" t="e">
        <f>+Zał.1_WPF_bazowy!#REF!</f>
        <v>#REF!</v>
      </c>
      <c r="P39" s="253" t="e">
        <f>+Zał.1_WPF_bazowy!#REF!</f>
        <v>#REF!</v>
      </c>
      <c r="Q39" s="253" t="e">
        <f>+Zał.1_WPF_bazowy!#REF!</f>
        <v>#REF!</v>
      </c>
      <c r="R39" s="253" t="e">
        <f>+Zał.1_WPF_bazowy!#REF!</f>
        <v>#REF!</v>
      </c>
      <c r="S39" s="253" t="e">
        <f>+Zał.1_WPF_bazowy!#REF!</f>
        <v>#REF!</v>
      </c>
      <c r="T39" s="253" t="e">
        <f>+Zał.1_WPF_bazowy!#REF!</f>
        <v>#REF!</v>
      </c>
      <c r="U39" s="253" t="e">
        <f>+Zał.1_WPF_bazowy!#REF!</f>
        <v>#REF!</v>
      </c>
      <c r="V39" s="253" t="e">
        <f>+Zał.1_WPF_bazowy!#REF!</f>
        <v>#REF!</v>
      </c>
      <c r="W39" s="253" t="e">
        <f>+Zał.1_WPF_bazowy!#REF!</f>
        <v>#REF!</v>
      </c>
      <c r="X39" s="253" t="e">
        <f>+Zał.1_WPF_bazowy!#REF!</f>
        <v>#REF!</v>
      </c>
      <c r="Y39" s="253" t="e">
        <f>+Zał.1_WPF_bazowy!#REF!</f>
        <v>#REF!</v>
      </c>
      <c r="Z39" s="253" t="e">
        <f>+Zał.1_WPF_bazowy!#REF!</f>
        <v>#REF!</v>
      </c>
      <c r="AA39" s="253" t="e">
        <f>+Zał.1_WPF_bazowy!#REF!</f>
        <v>#REF!</v>
      </c>
      <c r="AB39" s="253" t="e">
        <f>+Zał.1_WPF_bazowy!#REF!</f>
        <v>#REF!</v>
      </c>
      <c r="AC39" s="253" t="e">
        <f>+Zał.1_WPF_bazowy!#REF!</f>
        <v>#REF!</v>
      </c>
      <c r="AD39" s="253" t="e">
        <f>+Zał.1_WPF_bazowy!#REF!</f>
        <v>#REF!</v>
      </c>
      <c r="AE39" s="253" t="e">
        <f>+Zał.1_WPF_bazowy!#REF!</f>
        <v>#REF!</v>
      </c>
      <c r="AF39" s="253" t="e">
        <f>+Zał.1_WPF_bazowy!#REF!</f>
        <v>#REF!</v>
      </c>
      <c r="AG39" s="253" t="e">
        <f>+Zał.1_WPF_bazowy!#REF!</f>
        <v>#REF!</v>
      </c>
      <c r="AH39" s="253" t="e">
        <f>+Zał.1_WPF_bazowy!#REF!</f>
        <v>#REF!</v>
      </c>
      <c r="AI39" s="253" t="e">
        <f>+Zał.1_WPF_bazowy!#REF!</f>
        <v>#REF!</v>
      </c>
      <c r="AJ39" s="253" t="e">
        <f>+Zał.1_WPF_bazowy!#REF!</f>
        <v>#REF!</v>
      </c>
      <c r="AK39" s="253" t="e">
        <f>+Zał.1_WPF_bazowy!#REF!</f>
        <v>#REF!</v>
      </c>
      <c r="AL39" s="254" t="e">
        <f>+Zał.1_WPF_bazowy!#REF!</f>
        <v>#REF!</v>
      </c>
    </row>
    <row r="40" spans="1:253" outlineLevel="2">
      <c r="A40" s="309" t="s">
        <v>28</v>
      </c>
      <c r="B40" s="32" t="s">
        <v>75</v>
      </c>
      <c r="C40" s="99"/>
      <c r="D40" s="295" t="s">
        <v>485</v>
      </c>
      <c r="E40" s="197">
        <f>Zał.1_WPF_bazowy!E40</f>
        <v>0</v>
      </c>
      <c r="F40" s="198">
        <f>Zał.1_WPF_bazowy!F40</f>
        <v>0</v>
      </c>
      <c r="G40" s="198">
        <f>Zał.1_WPF_bazowy!G40</f>
        <v>0</v>
      </c>
      <c r="H40" s="251">
        <f>Zał.1_WPF_bazowy!H40</f>
        <v>0</v>
      </c>
      <c r="I40" s="252">
        <f>+Zał.1_WPF_bazowy!I40</f>
        <v>0</v>
      </c>
      <c r="J40" s="253">
        <f>+Zał.1_WPF_bazowy!J40</f>
        <v>0</v>
      </c>
      <c r="K40" s="253">
        <f>+Zał.1_WPF_bazowy!K40</f>
        <v>0</v>
      </c>
      <c r="L40" s="253">
        <f>+Zał.1_WPF_bazowy!L40</f>
        <v>0</v>
      </c>
      <c r="M40" s="253" t="e">
        <f>+Zał.1_WPF_bazowy!#REF!</f>
        <v>#REF!</v>
      </c>
      <c r="N40" s="253" t="e">
        <f>+Zał.1_WPF_bazowy!#REF!</f>
        <v>#REF!</v>
      </c>
      <c r="O40" s="253" t="e">
        <f>+Zał.1_WPF_bazowy!#REF!</f>
        <v>#REF!</v>
      </c>
      <c r="P40" s="253" t="e">
        <f>+Zał.1_WPF_bazowy!#REF!</f>
        <v>#REF!</v>
      </c>
      <c r="Q40" s="253" t="e">
        <f>+Zał.1_WPF_bazowy!#REF!</f>
        <v>#REF!</v>
      </c>
      <c r="R40" s="253" t="e">
        <f>+Zał.1_WPF_bazowy!#REF!</f>
        <v>#REF!</v>
      </c>
      <c r="S40" s="253" t="e">
        <f>+Zał.1_WPF_bazowy!#REF!</f>
        <v>#REF!</v>
      </c>
      <c r="T40" s="253" t="e">
        <f>+Zał.1_WPF_bazowy!#REF!</f>
        <v>#REF!</v>
      </c>
      <c r="U40" s="253" t="e">
        <f>+Zał.1_WPF_bazowy!#REF!</f>
        <v>#REF!</v>
      </c>
      <c r="V40" s="253" t="e">
        <f>+Zał.1_WPF_bazowy!#REF!</f>
        <v>#REF!</v>
      </c>
      <c r="W40" s="253" t="e">
        <f>+Zał.1_WPF_bazowy!#REF!</f>
        <v>#REF!</v>
      </c>
      <c r="X40" s="253" t="e">
        <f>+Zał.1_WPF_bazowy!#REF!</f>
        <v>#REF!</v>
      </c>
      <c r="Y40" s="253" t="e">
        <f>+Zał.1_WPF_bazowy!#REF!</f>
        <v>#REF!</v>
      </c>
      <c r="Z40" s="253" t="e">
        <f>+Zał.1_WPF_bazowy!#REF!</f>
        <v>#REF!</v>
      </c>
      <c r="AA40" s="253" t="e">
        <f>+Zał.1_WPF_bazowy!#REF!</f>
        <v>#REF!</v>
      </c>
      <c r="AB40" s="253" t="e">
        <f>+Zał.1_WPF_bazowy!#REF!</f>
        <v>#REF!</v>
      </c>
      <c r="AC40" s="253" t="e">
        <f>+Zał.1_WPF_bazowy!#REF!</f>
        <v>#REF!</v>
      </c>
      <c r="AD40" s="253" t="e">
        <f>+Zał.1_WPF_bazowy!#REF!</f>
        <v>#REF!</v>
      </c>
      <c r="AE40" s="253" t="e">
        <f>+Zał.1_WPF_bazowy!#REF!</f>
        <v>#REF!</v>
      </c>
      <c r="AF40" s="253" t="e">
        <f>+Zał.1_WPF_bazowy!#REF!</f>
        <v>#REF!</v>
      </c>
      <c r="AG40" s="253" t="e">
        <f>+Zał.1_WPF_bazowy!#REF!</f>
        <v>#REF!</v>
      </c>
      <c r="AH40" s="253" t="e">
        <f>+Zał.1_WPF_bazowy!#REF!</f>
        <v>#REF!</v>
      </c>
      <c r="AI40" s="253" t="e">
        <f>+Zał.1_WPF_bazowy!#REF!</f>
        <v>#REF!</v>
      </c>
      <c r="AJ40" s="253" t="e">
        <f>+Zał.1_WPF_bazowy!#REF!</f>
        <v>#REF!</v>
      </c>
      <c r="AK40" s="253" t="e">
        <f>+Zał.1_WPF_bazowy!#REF!</f>
        <v>#REF!</v>
      </c>
      <c r="AL40" s="254" t="e">
        <f>+Zał.1_WPF_bazowy!#REF!</f>
        <v>#REF!</v>
      </c>
    </row>
    <row r="41" spans="1:253" s="97" customFormat="1" ht="15.75" outlineLevel="1" thickBot="1">
      <c r="A41" s="309" t="s">
        <v>28</v>
      </c>
      <c r="B41" s="31">
        <v>5</v>
      </c>
      <c r="C41" s="366" t="s">
        <v>374</v>
      </c>
      <c r="D41" s="293" t="s">
        <v>76</v>
      </c>
      <c r="E41" s="195">
        <f>Zał.1_WPF_bazowy!E41</f>
        <v>601088.34</v>
      </c>
      <c r="F41" s="196">
        <f>Zał.1_WPF_bazowy!F41</f>
        <v>1303202.75</v>
      </c>
      <c r="G41" s="196">
        <f>Zał.1_WPF_bazowy!G41</f>
        <v>737521.46</v>
      </c>
      <c r="H41" s="73">
        <f t="shared" ref="H41:AL41" si="5">+H42+H47</f>
        <v>737521.46</v>
      </c>
      <c r="I41" s="71">
        <f t="shared" si="5"/>
        <v>798956.19</v>
      </c>
      <c r="J41" s="72">
        <f t="shared" si="5"/>
        <v>0</v>
      </c>
      <c r="K41" s="72">
        <f t="shared" si="5"/>
        <v>0</v>
      </c>
      <c r="L41" s="72">
        <f t="shared" si="5"/>
        <v>0</v>
      </c>
      <c r="M41" s="72" t="e">
        <f t="shared" si="5"/>
        <v>#REF!</v>
      </c>
      <c r="N41" s="72" t="e">
        <f t="shared" si="5"/>
        <v>#REF!</v>
      </c>
      <c r="O41" s="72" t="e">
        <f t="shared" si="5"/>
        <v>#REF!</v>
      </c>
      <c r="P41" s="72" t="e">
        <f t="shared" si="5"/>
        <v>#REF!</v>
      </c>
      <c r="Q41" s="72" t="e">
        <f t="shared" si="5"/>
        <v>#REF!</v>
      </c>
      <c r="R41" s="72" t="e">
        <f t="shared" si="5"/>
        <v>#REF!</v>
      </c>
      <c r="S41" s="72" t="e">
        <f t="shared" si="5"/>
        <v>#REF!</v>
      </c>
      <c r="T41" s="72" t="e">
        <f t="shared" si="5"/>
        <v>#REF!</v>
      </c>
      <c r="U41" s="72" t="e">
        <f t="shared" si="5"/>
        <v>#REF!</v>
      </c>
      <c r="V41" s="72" t="e">
        <f t="shared" si="5"/>
        <v>#REF!</v>
      </c>
      <c r="W41" s="72" t="e">
        <f t="shared" si="5"/>
        <v>#REF!</v>
      </c>
      <c r="X41" s="72" t="e">
        <f t="shared" si="5"/>
        <v>#REF!</v>
      </c>
      <c r="Y41" s="72" t="e">
        <f t="shared" si="5"/>
        <v>#REF!</v>
      </c>
      <c r="Z41" s="72" t="e">
        <f t="shared" si="5"/>
        <v>#REF!</v>
      </c>
      <c r="AA41" s="72" t="e">
        <f t="shared" si="5"/>
        <v>#REF!</v>
      </c>
      <c r="AB41" s="72" t="e">
        <f t="shared" si="5"/>
        <v>#REF!</v>
      </c>
      <c r="AC41" s="72" t="e">
        <f t="shared" si="5"/>
        <v>#REF!</v>
      </c>
      <c r="AD41" s="72" t="e">
        <f t="shared" si="5"/>
        <v>#REF!</v>
      </c>
      <c r="AE41" s="72" t="e">
        <f t="shared" si="5"/>
        <v>#REF!</v>
      </c>
      <c r="AF41" s="72" t="e">
        <f t="shared" si="5"/>
        <v>#REF!</v>
      </c>
      <c r="AG41" s="72" t="e">
        <f t="shared" si="5"/>
        <v>#REF!</v>
      </c>
      <c r="AH41" s="72" t="e">
        <f t="shared" si="5"/>
        <v>#REF!</v>
      </c>
      <c r="AI41" s="72" t="e">
        <f t="shared" si="5"/>
        <v>#REF!</v>
      </c>
      <c r="AJ41" s="72" t="e">
        <f t="shared" si="5"/>
        <v>#REF!</v>
      </c>
      <c r="AK41" s="72" t="e">
        <f t="shared" si="5"/>
        <v>#REF!</v>
      </c>
      <c r="AL41" s="73" t="e">
        <f t="shared" si="5"/>
        <v>#REF!</v>
      </c>
    </row>
    <row r="42" spans="1:253" s="100" customFormat="1" outlineLevel="2">
      <c r="A42" s="309" t="s">
        <v>28</v>
      </c>
      <c r="B42" s="32" t="s">
        <v>144</v>
      </c>
      <c r="C42" s="99"/>
      <c r="D42" s="294" t="s">
        <v>484</v>
      </c>
      <c r="E42" s="197">
        <f>Zał.1_WPF_bazowy!E42</f>
        <v>601088.34</v>
      </c>
      <c r="F42" s="198">
        <f>Zał.1_WPF_bazowy!F42</f>
        <v>1278520.75</v>
      </c>
      <c r="G42" s="198">
        <f>Zał.1_WPF_bazowy!G42</f>
        <v>737521.46</v>
      </c>
      <c r="H42" s="251">
        <f>Zał.1_WPF_bazowy!H42</f>
        <v>737521.46</v>
      </c>
      <c r="I42" s="252">
        <f>+Zał.1_WPF_bazowy!I42</f>
        <v>773956.19</v>
      </c>
      <c r="J42" s="253">
        <f>+Zał.1_WPF_bazowy!J42</f>
        <v>0</v>
      </c>
      <c r="K42" s="253">
        <f>+Zał.1_WPF_bazowy!K42</f>
        <v>0</v>
      </c>
      <c r="L42" s="253">
        <f>+Zał.1_WPF_bazowy!L42</f>
        <v>0</v>
      </c>
      <c r="M42" s="253" t="e">
        <f>+Zał.1_WPF_bazowy!#REF!</f>
        <v>#REF!</v>
      </c>
      <c r="N42" s="253" t="e">
        <f>+Zał.1_WPF_bazowy!#REF!</f>
        <v>#REF!</v>
      </c>
      <c r="O42" s="253" t="e">
        <f>+Zał.1_WPF_bazowy!#REF!</f>
        <v>#REF!</v>
      </c>
      <c r="P42" s="253" t="e">
        <f>+Zał.1_WPF_bazowy!#REF!</f>
        <v>#REF!</v>
      </c>
      <c r="Q42" s="253" t="e">
        <f>+Zał.1_WPF_bazowy!#REF!</f>
        <v>#REF!</v>
      </c>
      <c r="R42" s="253" t="e">
        <f>+Zał.1_WPF_bazowy!#REF!</f>
        <v>#REF!</v>
      </c>
      <c r="S42" s="253" t="e">
        <f>+Zał.1_WPF_bazowy!#REF!</f>
        <v>#REF!</v>
      </c>
      <c r="T42" s="253" t="e">
        <f>+Zał.1_WPF_bazowy!#REF!</f>
        <v>#REF!</v>
      </c>
      <c r="U42" s="253" t="e">
        <f>+Zał.1_WPF_bazowy!#REF!</f>
        <v>#REF!</v>
      </c>
      <c r="V42" s="253" t="e">
        <f>+Zał.1_WPF_bazowy!#REF!</f>
        <v>#REF!</v>
      </c>
      <c r="W42" s="253" t="e">
        <f>+Zał.1_WPF_bazowy!#REF!</f>
        <v>#REF!</v>
      </c>
      <c r="X42" s="253" t="e">
        <f>+Zał.1_WPF_bazowy!#REF!</f>
        <v>#REF!</v>
      </c>
      <c r="Y42" s="253" t="e">
        <f>+Zał.1_WPF_bazowy!#REF!</f>
        <v>#REF!</v>
      </c>
      <c r="Z42" s="253" t="e">
        <f>+Zał.1_WPF_bazowy!#REF!</f>
        <v>#REF!</v>
      </c>
      <c r="AA42" s="253" t="e">
        <f>+Zał.1_WPF_bazowy!#REF!</f>
        <v>#REF!</v>
      </c>
      <c r="AB42" s="253" t="e">
        <f>+Zał.1_WPF_bazowy!#REF!</f>
        <v>#REF!</v>
      </c>
      <c r="AC42" s="253" t="e">
        <f>+Zał.1_WPF_bazowy!#REF!</f>
        <v>#REF!</v>
      </c>
      <c r="AD42" s="253" t="e">
        <f>+Zał.1_WPF_bazowy!#REF!</f>
        <v>#REF!</v>
      </c>
      <c r="AE42" s="253" t="e">
        <f>+Zał.1_WPF_bazowy!#REF!</f>
        <v>#REF!</v>
      </c>
      <c r="AF42" s="253" t="e">
        <f>+Zał.1_WPF_bazowy!#REF!</f>
        <v>#REF!</v>
      </c>
      <c r="AG42" s="253" t="e">
        <f>+Zał.1_WPF_bazowy!#REF!</f>
        <v>#REF!</v>
      </c>
      <c r="AH42" s="253" t="e">
        <f>+Zał.1_WPF_bazowy!#REF!</f>
        <v>#REF!</v>
      </c>
      <c r="AI42" s="253" t="e">
        <f>+Zał.1_WPF_bazowy!#REF!</f>
        <v>#REF!</v>
      </c>
      <c r="AJ42" s="253" t="e">
        <f>+Zał.1_WPF_bazowy!#REF!</f>
        <v>#REF!</v>
      </c>
      <c r="AK42" s="253" t="e">
        <f>+Zał.1_WPF_bazowy!#REF!</f>
        <v>#REF!</v>
      </c>
      <c r="AL42" s="254" t="e">
        <f>+Zał.1_WPF_bazowy!#REF!</f>
        <v>#REF!</v>
      </c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</row>
    <row r="43" spans="1:253" s="90" customFormat="1" ht="24" outlineLevel="2">
      <c r="A43" s="309" t="s">
        <v>28</v>
      </c>
      <c r="B43" s="32" t="s">
        <v>78</v>
      </c>
      <c r="C43" s="99" t="s">
        <v>375</v>
      </c>
      <c r="D43" s="295" t="s">
        <v>483</v>
      </c>
      <c r="E43" s="197">
        <f>Zał.1_WPF_bazowy!E43</f>
        <v>552822</v>
      </c>
      <c r="F43" s="198">
        <f>Zał.1_WPF_bazowy!F43</f>
        <v>595645.15</v>
      </c>
      <c r="G43" s="198">
        <f>Zał.1_WPF_bazowy!G43</f>
        <v>0</v>
      </c>
      <c r="H43" s="120">
        <f>+H44+H45+H46</f>
        <v>0</v>
      </c>
      <c r="I43" s="118">
        <f t="shared" ref="I43:AL43" si="6">+I44+I45+I46</f>
        <v>0</v>
      </c>
      <c r="J43" s="119">
        <f t="shared" si="6"/>
        <v>0</v>
      </c>
      <c r="K43" s="119">
        <f t="shared" si="6"/>
        <v>0</v>
      </c>
      <c r="L43" s="119">
        <f t="shared" si="6"/>
        <v>0</v>
      </c>
      <c r="M43" s="119" t="e">
        <f t="shared" si="6"/>
        <v>#REF!</v>
      </c>
      <c r="N43" s="119" t="e">
        <f t="shared" si="6"/>
        <v>#REF!</v>
      </c>
      <c r="O43" s="119" t="e">
        <f t="shared" si="6"/>
        <v>#REF!</v>
      </c>
      <c r="P43" s="119" t="e">
        <f t="shared" si="6"/>
        <v>#REF!</v>
      </c>
      <c r="Q43" s="119" t="e">
        <f t="shared" si="6"/>
        <v>#REF!</v>
      </c>
      <c r="R43" s="119" t="e">
        <f t="shared" si="6"/>
        <v>#REF!</v>
      </c>
      <c r="S43" s="119" t="e">
        <f t="shared" si="6"/>
        <v>#REF!</v>
      </c>
      <c r="T43" s="119" t="e">
        <f t="shared" si="6"/>
        <v>#REF!</v>
      </c>
      <c r="U43" s="119" t="e">
        <f t="shared" si="6"/>
        <v>#REF!</v>
      </c>
      <c r="V43" s="119" t="e">
        <f t="shared" si="6"/>
        <v>#REF!</v>
      </c>
      <c r="W43" s="119" t="e">
        <f t="shared" si="6"/>
        <v>#REF!</v>
      </c>
      <c r="X43" s="119" t="e">
        <f t="shared" si="6"/>
        <v>#REF!</v>
      </c>
      <c r="Y43" s="119" t="e">
        <f t="shared" si="6"/>
        <v>#REF!</v>
      </c>
      <c r="Z43" s="119" t="e">
        <f t="shared" si="6"/>
        <v>#REF!</v>
      </c>
      <c r="AA43" s="119" t="e">
        <f t="shared" si="6"/>
        <v>#REF!</v>
      </c>
      <c r="AB43" s="119" t="e">
        <f t="shared" si="6"/>
        <v>#REF!</v>
      </c>
      <c r="AC43" s="119" t="e">
        <f t="shared" si="6"/>
        <v>#REF!</v>
      </c>
      <c r="AD43" s="119" t="e">
        <f t="shared" si="6"/>
        <v>#REF!</v>
      </c>
      <c r="AE43" s="119" t="e">
        <f t="shared" si="6"/>
        <v>#REF!</v>
      </c>
      <c r="AF43" s="119" t="e">
        <f t="shared" si="6"/>
        <v>#REF!</v>
      </c>
      <c r="AG43" s="119" t="e">
        <f t="shared" si="6"/>
        <v>#REF!</v>
      </c>
      <c r="AH43" s="119" t="e">
        <f t="shared" si="6"/>
        <v>#REF!</v>
      </c>
      <c r="AI43" s="119" t="e">
        <f t="shared" si="6"/>
        <v>#REF!</v>
      </c>
      <c r="AJ43" s="119" t="e">
        <f t="shared" si="6"/>
        <v>#REF!</v>
      </c>
      <c r="AK43" s="119" t="e">
        <f t="shared" si="6"/>
        <v>#REF!</v>
      </c>
      <c r="AL43" s="120" t="e">
        <f t="shared" si="6"/>
        <v>#REF!</v>
      </c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</row>
    <row r="44" spans="1:253" outlineLevel="2">
      <c r="A44" s="309" t="s">
        <v>28</v>
      </c>
      <c r="B44" s="32" t="s">
        <v>79</v>
      </c>
      <c r="C44" s="99"/>
      <c r="D44" s="296" t="s">
        <v>482</v>
      </c>
      <c r="E44" s="197">
        <f>Zał.1_WPF_bazowy!E44</f>
        <v>552822</v>
      </c>
      <c r="F44" s="198">
        <f>Zał.1_WPF_bazowy!F44</f>
        <v>595645.15</v>
      </c>
      <c r="G44" s="198">
        <f>Zał.1_WPF_bazowy!G44</f>
        <v>0</v>
      </c>
      <c r="H44" s="251">
        <f>Zał.1_WPF_bazowy!H44</f>
        <v>0</v>
      </c>
      <c r="I44" s="252">
        <f>+Zał.1_WPF_bazowy!I44</f>
        <v>0</v>
      </c>
      <c r="J44" s="253">
        <f>+Zał.1_WPF_bazowy!J44</f>
        <v>0</v>
      </c>
      <c r="K44" s="253">
        <f>+Zał.1_WPF_bazowy!K44</f>
        <v>0</v>
      </c>
      <c r="L44" s="253">
        <f>+Zał.1_WPF_bazowy!L44</f>
        <v>0</v>
      </c>
      <c r="M44" s="253" t="e">
        <f>+Zał.1_WPF_bazowy!#REF!</f>
        <v>#REF!</v>
      </c>
      <c r="N44" s="253" t="e">
        <f>+Zał.1_WPF_bazowy!#REF!</f>
        <v>#REF!</v>
      </c>
      <c r="O44" s="253" t="e">
        <f>+Zał.1_WPF_bazowy!#REF!</f>
        <v>#REF!</v>
      </c>
      <c r="P44" s="253" t="e">
        <f>+Zał.1_WPF_bazowy!#REF!</f>
        <v>#REF!</v>
      </c>
      <c r="Q44" s="253" t="e">
        <f>+Zał.1_WPF_bazowy!#REF!</f>
        <v>#REF!</v>
      </c>
      <c r="R44" s="253" t="e">
        <f>+Zał.1_WPF_bazowy!#REF!</f>
        <v>#REF!</v>
      </c>
      <c r="S44" s="253" t="e">
        <f>+Zał.1_WPF_bazowy!#REF!</f>
        <v>#REF!</v>
      </c>
      <c r="T44" s="253" t="e">
        <f>+Zał.1_WPF_bazowy!#REF!</f>
        <v>#REF!</v>
      </c>
      <c r="U44" s="253" t="e">
        <f>+Zał.1_WPF_bazowy!#REF!</f>
        <v>#REF!</v>
      </c>
      <c r="V44" s="253" t="e">
        <f>+Zał.1_WPF_bazowy!#REF!</f>
        <v>#REF!</v>
      </c>
      <c r="W44" s="253" t="e">
        <f>+Zał.1_WPF_bazowy!#REF!</f>
        <v>#REF!</v>
      </c>
      <c r="X44" s="253" t="e">
        <f>+Zał.1_WPF_bazowy!#REF!</f>
        <v>#REF!</v>
      </c>
      <c r="Y44" s="253" t="e">
        <f>+Zał.1_WPF_bazowy!#REF!</f>
        <v>#REF!</v>
      </c>
      <c r="Z44" s="253" t="e">
        <f>+Zał.1_WPF_bazowy!#REF!</f>
        <v>#REF!</v>
      </c>
      <c r="AA44" s="253" t="e">
        <f>+Zał.1_WPF_bazowy!#REF!</f>
        <v>#REF!</v>
      </c>
      <c r="AB44" s="253" t="e">
        <f>+Zał.1_WPF_bazowy!#REF!</f>
        <v>#REF!</v>
      </c>
      <c r="AC44" s="253" t="e">
        <f>+Zał.1_WPF_bazowy!#REF!</f>
        <v>#REF!</v>
      </c>
      <c r="AD44" s="253" t="e">
        <f>+Zał.1_WPF_bazowy!#REF!</f>
        <v>#REF!</v>
      </c>
      <c r="AE44" s="253" t="e">
        <f>+Zał.1_WPF_bazowy!#REF!</f>
        <v>#REF!</v>
      </c>
      <c r="AF44" s="253" t="e">
        <f>+Zał.1_WPF_bazowy!#REF!</f>
        <v>#REF!</v>
      </c>
      <c r="AG44" s="253" t="e">
        <f>+Zał.1_WPF_bazowy!#REF!</f>
        <v>#REF!</v>
      </c>
      <c r="AH44" s="253" t="e">
        <f>+Zał.1_WPF_bazowy!#REF!</f>
        <v>#REF!</v>
      </c>
      <c r="AI44" s="253" t="e">
        <f>+Zał.1_WPF_bazowy!#REF!</f>
        <v>#REF!</v>
      </c>
      <c r="AJ44" s="253" t="e">
        <f>+Zał.1_WPF_bazowy!#REF!</f>
        <v>#REF!</v>
      </c>
      <c r="AK44" s="253" t="e">
        <f>+Zał.1_WPF_bazowy!#REF!</f>
        <v>#REF!</v>
      </c>
      <c r="AL44" s="254" t="e">
        <f>+Zał.1_WPF_bazowy!#REF!</f>
        <v>#REF!</v>
      </c>
    </row>
    <row r="45" spans="1:253" outlineLevel="2">
      <c r="A45" s="309" t="s">
        <v>28</v>
      </c>
      <c r="B45" s="32" t="s">
        <v>378</v>
      </c>
      <c r="C45" s="99"/>
      <c r="D45" s="296" t="s">
        <v>481</v>
      </c>
      <c r="E45" s="197">
        <f>Zał.1_WPF_bazowy!E45</f>
        <v>0</v>
      </c>
      <c r="F45" s="198">
        <f>Zał.1_WPF_bazowy!F45</f>
        <v>0</v>
      </c>
      <c r="G45" s="198">
        <f>Zał.1_WPF_bazowy!G45</f>
        <v>0</v>
      </c>
      <c r="H45" s="251">
        <f>Zał.1_WPF_bazowy!H45</f>
        <v>0</v>
      </c>
      <c r="I45" s="252">
        <f>+Zał.1_WPF_bazowy!I45</f>
        <v>0</v>
      </c>
      <c r="J45" s="253">
        <f>+Zał.1_WPF_bazowy!J45</f>
        <v>0</v>
      </c>
      <c r="K45" s="253">
        <f>+Zał.1_WPF_bazowy!K45</f>
        <v>0</v>
      </c>
      <c r="L45" s="253">
        <f>+Zał.1_WPF_bazowy!L45</f>
        <v>0</v>
      </c>
      <c r="M45" s="253" t="e">
        <f>+Zał.1_WPF_bazowy!#REF!</f>
        <v>#REF!</v>
      </c>
      <c r="N45" s="253" t="e">
        <f>+Zał.1_WPF_bazowy!#REF!</f>
        <v>#REF!</v>
      </c>
      <c r="O45" s="253" t="e">
        <f>+Zał.1_WPF_bazowy!#REF!</f>
        <v>#REF!</v>
      </c>
      <c r="P45" s="253" t="e">
        <f>+Zał.1_WPF_bazowy!#REF!</f>
        <v>#REF!</v>
      </c>
      <c r="Q45" s="253" t="e">
        <f>+Zał.1_WPF_bazowy!#REF!</f>
        <v>#REF!</v>
      </c>
      <c r="R45" s="253" t="e">
        <f>+Zał.1_WPF_bazowy!#REF!</f>
        <v>#REF!</v>
      </c>
      <c r="S45" s="253" t="e">
        <f>+Zał.1_WPF_bazowy!#REF!</f>
        <v>#REF!</v>
      </c>
      <c r="T45" s="253" t="e">
        <f>+Zał.1_WPF_bazowy!#REF!</f>
        <v>#REF!</v>
      </c>
      <c r="U45" s="253" t="e">
        <f>+Zał.1_WPF_bazowy!#REF!</f>
        <v>#REF!</v>
      </c>
      <c r="V45" s="253" t="e">
        <f>+Zał.1_WPF_bazowy!#REF!</f>
        <v>#REF!</v>
      </c>
      <c r="W45" s="253" t="e">
        <f>+Zał.1_WPF_bazowy!#REF!</f>
        <v>#REF!</v>
      </c>
      <c r="X45" s="253" t="e">
        <f>+Zał.1_WPF_bazowy!#REF!</f>
        <v>#REF!</v>
      </c>
      <c r="Y45" s="253" t="e">
        <f>+Zał.1_WPF_bazowy!#REF!</f>
        <v>#REF!</v>
      </c>
      <c r="Z45" s="253" t="e">
        <f>+Zał.1_WPF_bazowy!#REF!</f>
        <v>#REF!</v>
      </c>
      <c r="AA45" s="253" t="e">
        <f>+Zał.1_WPF_bazowy!#REF!</f>
        <v>#REF!</v>
      </c>
      <c r="AB45" s="253" t="e">
        <f>+Zał.1_WPF_bazowy!#REF!</f>
        <v>#REF!</v>
      </c>
      <c r="AC45" s="253" t="e">
        <f>+Zał.1_WPF_bazowy!#REF!</f>
        <v>#REF!</v>
      </c>
      <c r="AD45" s="253" t="e">
        <f>+Zał.1_WPF_bazowy!#REF!</f>
        <v>#REF!</v>
      </c>
      <c r="AE45" s="253" t="e">
        <f>+Zał.1_WPF_bazowy!#REF!</f>
        <v>#REF!</v>
      </c>
      <c r="AF45" s="253" t="e">
        <f>+Zał.1_WPF_bazowy!#REF!</f>
        <v>#REF!</v>
      </c>
      <c r="AG45" s="253" t="e">
        <f>+Zał.1_WPF_bazowy!#REF!</f>
        <v>#REF!</v>
      </c>
      <c r="AH45" s="253" t="e">
        <f>+Zał.1_WPF_bazowy!#REF!</f>
        <v>#REF!</v>
      </c>
      <c r="AI45" s="253" t="e">
        <f>+Zał.1_WPF_bazowy!#REF!</f>
        <v>#REF!</v>
      </c>
      <c r="AJ45" s="253" t="e">
        <f>+Zał.1_WPF_bazowy!#REF!</f>
        <v>#REF!</v>
      </c>
      <c r="AK45" s="253" t="e">
        <f>+Zał.1_WPF_bazowy!#REF!</f>
        <v>#REF!</v>
      </c>
      <c r="AL45" s="254" t="e">
        <f>+Zał.1_WPF_bazowy!#REF!</f>
        <v>#REF!</v>
      </c>
    </row>
    <row r="46" spans="1:253" outlineLevel="2">
      <c r="A46" s="309" t="s">
        <v>28</v>
      </c>
      <c r="B46" s="32" t="s">
        <v>380</v>
      </c>
      <c r="C46" s="99"/>
      <c r="D46" s="296" t="s">
        <v>480</v>
      </c>
      <c r="E46" s="197">
        <f>Zał.1_WPF_bazowy!E46</f>
        <v>0</v>
      </c>
      <c r="F46" s="198">
        <f>Zał.1_WPF_bazowy!F46</f>
        <v>0</v>
      </c>
      <c r="G46" s="198">
        <f>Zał.1_WPF_bazowy!G46</f>
        <v>0</v>
      </c>
      <c r="H46" s="251">
        <f>Zał.1_WPF_bazowy!H46</f>
        <v>0</v>
      </c>
      <c r="I46" s="252">
        <f>+Zał.1_WPF_bazowy!I46</f>
        <v>0</v>
      </c>
      <c r="J46" s="253">
        <f>+Zał.1_WPF_bazowy!J46</f>
        <v>0</v>
      </c>
      <c r="K46" s="253">
        <f>+Zał.1_WPF_bazowy!K46</f>
        <v>0</v>
      </c>
      <c r="L46" s="253">
        <f>+Zał.1_WPF_bazowy!L46</f>
        <v>0</v>
      </c>
      <c r="M46" s="253" t="e">
        <f>+Zał.1_WPF_bazowy!#REF!</f>
        <v>#REF!</v>
      </c>
      <c r="N46" s="253" t="e">
        <f>+Zał.1_WPF_bazowy!#REF!</f>
        <v>#REF!</v>
      </c>
      <c r="O46" s="253" t="e">
        <f>+Zał.1_WPF_bazowy!#REF!</f>
        <v>#REF!</v>
      </c>
      <c r="P46" s="253" t="e">
        <f>+Zał.1_WPF_bazowy!#REF!</f>
        <v>#REF!</v>
      </c>
      <c r="Q46" s="253" t="e">
        <f>+Zał.1_WPF_bazowy!#REF!</f>
        <v>#REF!</v>
      </c>
      <c r="R46" s="253" t="e">
        <f>+Zał.1_WPF_bazowy!#REF!</f>
        <v>#REF!</v>
      </c>
      <c r="S46" s="253" t="e">
        <f>+Zał.1_WPF_bazowy!#REF!</f>
        <v>#REF!</v>
      </c>
      <c r="T46" s="253" t="e">
        <f>+Zał.1_WPF_bazowy!#REF!</f>
        <v>#REF!</v>
      </c>
      <c r="U46" s="253" t="e">
        <f>+Zał.1_WPF_bazowy!#REF!</f>
        <v>#REF!</v>
      </c>
      <c r="V46" s="253" t="e">
        <f>+Zał.1_WPF_bazowy!#REF!</f>
        <v>#REF!</v>
      </c>
      <c r="W46" s="253" t="e">
        <f>+Zał.1_WPF_bazowy!#REF!</f>
        <v>#REF!</v>
      </c>
      <c r="X46" s="253" t="e">
        <f>+Zał.1_WPF_bazowy!#REF!</f>
        <v>#REF!</v>
      </c>
      <c r="Y46" s="253" t="e">
        <f>+Zał.1_WPF_bazowy!#REF!</f>
        <v>#REF!</v>
      </c>
      <c r="Z46" s="253" t="e">
        <f>+Zał.1_WPF_bazowy!#REF!</f>
        <v>#REF!</v>
      </c>
      <c r="AA46" s="253" t="e">
        <f>+Zał.1_WPF_bazowy!#REF!</f>
        <v>#REF!</v>
      </c>
      <c r="AB46" s="253" t="e">
        <f>+Zał.1_WPF_bazowy!#REF!</f>
        <v>#REF!</v>
      </c>
      <c r="AC46" s="253" t="e">
        <f>+Zał.1_WPF_bazowy!#REF!</f>
        <v>#REF!</v>
      </c>
      <c r="AD46" s="253" t="e">
        <f>+Zał.1_WPF_bazowy!#REF!</f>
        <v>#REF!</v>
      </c>
      <c r="AE46" s="253" t="e">
        <f>+Zał.1_WPF_bazowy!#REF!</f>
        <v>#REF!</v>
      </c>
      <c r="AF46" s="253" t="e">
        <f>+Zał.1_WPF_bazowy!#REF!</f>
        <v>#REF!</v>
      </c>
      <c r="AG46" s="253" t="e">
        <f>+Zał.1_WPF_bazowy!#REF!</f>
        <v>#REF!</v>
      </c>
      <c r="AH46" s="253" t="e">
        <f>+Zał.1_WPF_bazowy!#REF!</f>
        <v>#REF!</v>
      </c>
      <c r="AI46" s="253" t="e">
        <f>+Zał.1_WPF_bazowy!#REF!</f>
        <v>#REF!</v>
      </c>
      <c r="AJ46" s="253" t="e">
        <f>+Zał.1_WPF_bazowy!#REF!</f>
        <v>#REF!</v>
      </c>
      <c r="AK46" s="253" t="e">
        <f>+Zał.1_WPF_bazowy!#REF!</f>
        <v>#REF!</v>
      </c>
      <c r="AL46" s="254" t="e">
        <f>+Zał.1_WPF_bazowy!#REF!</f>
        <v>#REF!</v>
      </c>
    </row>
    <row r="47" spans="1:253" outlineLevel="2">
      <c r="A47" s="309"/>
      <c r="B47" s="32" t="s">
        <v>145</v>
      </c>
      <c r="C47" s="99"/>
      <c r="D47" s="294" t="s">
        <v>80</v>
      </c>
      <c r="E47" s="197">
        <f>Zał.1_WPF_bazowy!E47</f>
        <v>0</v>
      </c>
      <c r="F47" s="198">
        <f>Zał.1_WPF_bazowy!F47</f>
        <v>24682</v>
      </c>
      <c r="G47" s="198">
        <f>Zał.1_WPF_bazowy!G47</f>
        <v>0</v>
      </c>
      <c r="H47" s="251">
        <f>Zał.1_WPF_bazowy!H47</f>
        <v>0</v>
      </c>
      <c r="I47" s="252">
        <f>+Zał.1_WPF_bazowy!I47</f>
        <v>25000</v>
      </c>
      <c r="J47" s="253">
        <f>+Zał.1_WPF_bazowy!J47</f>
        <v>0</v>
      </c>
      <c r="K47" s="253">
        <f>+Zał.1_WPF_bazowy!K47</f>
        <v>0</v>
      </c>
      <c r="L47" s="253">
        <f>+Zał.1_WPF_bazowy!L47</f>
        <v>0</v>
      </c>
      <c r="M47" s="253" t="e">
        <f>+Zał.1_WPF_bazowy!#REF!</f>
        <v>#REF!</v>
      </c>
      <c r="N47" s="253" t="e">
        <f>+Zał.1_WPF_bazowy!#REF!</f>
        <v>#REF!</v>
      </c>
      <c r="O47" s="253" t="e">
        <f>+Zał.1_WPF_bazowy!#REF!</f>
        <v>#REF!</v>
      </c>
      <c r="P47" s="253" t="e">
        <f>+Zał.1_WPF_bazowy!#REF!</f>
        <v>#REF!</v>
      </c>
      <c r="Q47" s="253" t="e">
        <f>+Zał.1_WPF_bazowy!#REF!</f>
        <v>#REF!</v>
      </c>
      <c r="R47" s="253" t="e">
        <f>+Zał.1_WPF_bazowy!#REF!</f>
        <v>#REF!</v>
      </c>
      <c r="S47" s="253" t="e">
        <f>+Zał.1_WPF_bazowy!#REF!</f>
        <v>#REF!</v>
      </c>
      <c r="T47" s="253" t="e">
        <f>+Zał.1_WPF_bazowy!#REF!</f>
        <v>#REF!</v>
      </c>
      <c r="U47" s="253" t="e">
        <f>+Zał.1_WPF_bazowy!#REF!</f>
        <v>#REF!</v>
      </c>
      <c r="V47" s="253" t="e">
        <f>+Zał.1_WPF_bazowy!#REF!</f>
        <v>#REF!</v>
      </c>
      <c r="W47" s="253" t="e">
        <f>+Zał.1_WPF_bazowy!#REF!</f>
        <v>#REF!</v>
      </c>
      <c r="X47" s="253" t="e">
        <f>+Zał.1_WPF_bazowy!#REF!</f>
        <v>#REF!</v>
      </c>
      <c r="Y47" s="253" t="e">
        <f>+Zał.1_WPF_bazowy!#REF!</f>
        <v>#REF!</v>
      </c>
      <c r="Z47" s="253" t="e">
        <f>+Zał.1_WPF_bazowy!#REF!</f>
        <v>#REF!</v>
      </c>
      <c r="AA47" s="253" t="e">
        <f>+Zał.1_WPF_bazowy!#REF!</f>
        <v>#REF!</v>
      </c>
      <c r="AB47" s="253" t="e">
        <f>+Zał.1_WPF_bazowy!#REF!</f>
        <v>#REF!</v>
      </c>
      <c r="AC47" s="253" t="e">
        <f>+Zał.1_WPF_bazowy!#REF!</f>
        <v>#REF!</v>
      </c>
      <c r="AD47" s="253" t="e">
        <f>+Zał.1_WPF_bazowy!#REF!</f>
        <v>#REF!</v>
      </c>
      <c r="AE47" s="253" t="e">
        <f>+Zał.1_WPF_bazowy!#REF!</f>
        <v>#REF!</v>
      </c>
      <c r="AF47" s="253" t="e">
        <f>+Zał.1_WPF_bazowy!#REF!</f>
        <v>#REF!</v>
      </c>
      <c r="AG47" s="253" t="e">
        <f>+Zał.1_WPF_bazowy!#REF!</f>
        <v>#REF!</v>
      </c>
      <c r="AH47" s="253" t="e">
        <f>+Zał.1_WPF_bazowy!#REF!</f>
        <v>#REF!</v>
      </c>
      <c r="AI47" s="253" t="e">
        <f>+Zał.1_WPF_bazowy!#REF!</f>
        <v>#REF!</v>
      </c>
      <c r="AJ47" s="253" t="e">
        <f>+Zał.1_WPF_bazowy!#REF!</f>
        <v>#REF!</v>
      </c>
      <c r="AK47" s="253" t="e">
        <f>+Zał.1_WPF_bazowy!#REF!</f>
        <v>#REF!</v>
      </c>
      <c r="AL47" s="254" t="e">
        <f>+Zał.1_WPF_bazowy!#REF!</f>
        <v>#REF!</v>
      </c>
    </row>
    <row r="48" spans="1:253" s="97" customFormat="1" ht="15" outlineLevel="1">
      <c r="A48" s="309" t="s">
        <v>28</v>
      </c>
      <c r="B48" s="31">
        <v>6</v>
      </c>
      <c r="C48" s="366"/>
      <c r="D48" s="293" t="s">
        <v>25</v>
      </c>
      <c r="E48" s="195">
        <f>Zał.1_WPF_bazowy!E48</f>
        <v>2552998.4</v>
      </c>
      <c r="F48" s="196">
        <f>Zał.1_WPF_bazowy!F48</f>
        <v>1422477.65</v>
      </c>
      <c r="G48" s="196">
        <f>Zał.1_WPF_bazowy!G48</f>
        <v>773956.19</v>
      </c>
      <c r="H48" s="255">
        <f>Zał.1_WPF_bazowy!H48</f>
        <v>773956.19</v>
      </c>
      <c r="I48" s="256">
        <f t="shared" ref="I48:AL48" si="7">+IF(I10&lt;&gt;0,H48+I37-I42+(I105-H105)+I110,0)</f>
        <v>0</v>
      </c>
      <c r="J48" s="257">
        <f t="shared" si="7"/>
        <v>0</v>
      </c>
      <c r="K48" s="257">
        <f t="shared" si="7"/>
        <v>0</v>
      </c>
      <c r="L48" s="257">
        <f t="shared" si="7"/>
        <v>0</v>
      </c>
      <c r="M48" s="257" t="e">
        <f t="shared" si="7"/>
        <v>#REF!</v>
      </c>
      <c r="N48" s="257" t="e">
        <f t="shared" si="7"/>
        <v>#REF!</v>
      </c>
      <c r="O48" s="257" t="e">
        <f t="shared" si="7"/>
        <v>#REF!</v>
      </c>
      <c r="P48" s="257" t="e">
        <f t="shared" si="7"/>
        <v>#REF!</v>
      </c>
      <c r="Q48" s="257" t="e">
        <f t="shared" si="7"/>
        <v>#REF!</v>
      </c>
      <c r="R48" s="257" t="e">
        <f t="shared" si="7"/>
        <v>#REF!</v>
      </c>
      <c r="S48" s="257" t="e">
        <f t="shared" si="7"/>
        <v>#REF!</v>
      </c>
      <c r="T48" s="257" t="e">
        <f t="shared" si="7"/>
        <v>#REF!</v>
      </c>
      <c r="U48" s="257" t="e">
        <f t="shared" si="7"/>
        <v>#REF!</v>
      </c>
      <c r="V48" s="257" t="e">
        <f t="shared" si="7"/>
        <v>#REF!</v>
      </c>
      <c r="W48" s="257" t="e">
        <f t="shared" si="7"/>
        <v>#REF!</v>
      </c>
      <c r="X48" s="257" t="e">
        <f t="shared" si="7"/>
        <v>#REF!</v>
      </c>
      <c r="Y48" s="257" t="e">
        <f t="shared" si="7"/>
        <v>#REF!</v>
      </c>
      <c r="Z48" s="257" t="e">
        <f t="shared" si="7"/>
        <v>#REF!</v>
      </c>
      <c r="AA48" s="257" t="e">
        <f t="shared" si="7"/>
        <v>#REF!</v>
      </c>
      <c r="AB48" s="257" t="e">
        <f t="shared" si="7"/>
        <v>#REF!</v>
      </c>
      <c r="AC48" s="257" t="e">
        <f t="shared" si="7"/>
        <v>#REF!</v>
      </c>
      <c r="AD48" s="257" t="e">
        <f t="shared" si="7"/>
        <v>#REF!</v>
      </c>
      <c r="AE48" s="257" t="e">
        <f t="shared" si="7"/>
        <v>#REF!</v>
      </c>
      <c r="AF48" s="257" t="e">
        <f t="shared" si="7"/>
        <v>#REF!</v>
      </c>
      <c r="AG48" s="257" t="e">
        <f t="shared" si="7"/>
        <v>#REF!</v>
      </c>
      <c r="AH48" s="257" t="e">
        <f t="shared" si="7"/>
        <v>#REF!</v>
      </c>
      <c r="AI48" s="257" t="e">
        <f t="shared" si="7"/>
        <v>#REF!</v>
      </c>
      <c r="AJ48" s="257" t="e">
        <f t="shared" si="7"/>
        <v>#REF!</v>
      </c>
      <c r="AK48" s="257" t="e">
        <f t="shared" si="7"/>
        <v>#REF!</v>
      </c>
      <c r="AL48" s="258" t="e">
        <f t="shared" si="7"/>
        <v>#REF!</v>
      </c>
    </row>
    <row r="49" spans="1:253" s="97" customFormat="1" ht="24" outlineLevel="1">
      <c r="A49" s="309"/>
      <c r="B49" s="31">
        <v>7</v>
      </c>
      <c r="C49" s="366"/>
      <c r="D49" s="293" t="s">
        <v>81</v>
      </c>
      <c r="E49" s="195">
        <f>Zał.1_WPF_bazowy!E49</f>
        <v>0</v>
      </c>
      <c r="F49" s="196">
        <f>Zał.1_WPF_bazowy!F49</f>
        <v>0</v>
      </c>
      <c r="G49" s="196">
        <f>Zał.1_WPF_bazowy!G49</f>
        <v>0</v>
      </c>
      <c r="H49" s="255">
        <f>Zał.1_WPF_bazowy!H49</f>
        <v>0</v>
      </c>
      <c r="I49" s="259">
        <f>+Zał.1_WPF_bazowy!I49</f>
        <v>0</v>
      </c>
      <c r="J49" s="260">
        <f>+Zał.1_WPF_bazowy!J49</f>
        <v>0</v>
      </c>
      <c r="K49" s="260">
        <f>+Zał.1_WPF_bazowy!K49</f>
        <v>0</v>
      </c>
      <c r="L49" s="260">
        <f>+Zał.1_WPF_bazowy!L49</f>
        <v>0</v>
      </c>
      <c r="M49" s="260" t="e">
        <f>+Zał.1_WPF_bazowy!#REF!</f>
        <v>#REF!</v>
      </c>
      <c r="N49" s="260" t="e">
        <f>+Zał.1_WPF_bazowy!#REF!</f>
        <v>#REF!</v>
      </c>
      <c r="O49" s="260" t="e">
        <f>+Zał.1_WPF_bazowy!#REF!</f>
        <v>#REF!</v>
      </c>
      <c r="P49" s="260" t="e">
        <f>+Zał.1_WPF_bazowy!#REF!</f>
        <v>#REF!</v>
      </c>
      <c r="Q49" s="260" t="e">
        <f>+Zał.1_WPF_bazowy!#REF!</f>
        <v>#REF!</v>
      </c>
      <c r="R49" s="260" t="e">
        <f>+Zał.1_WPF_bazowy!#REF!</f>
        <v>#REF!</v>
      </c>
      <c r="S49" s="260" t="e">
        <f>+Zał.1_WPF_bazowy!#REF!</f>
        <v>#REF!</v>
      </c>
      <c r="T49" s="260" t="e">
        <f>+Zał.1_WPF_bazowy!#REF!</f>
        <v>#REF!</v>
      </c>
      <c r="U49" s="260" t="e">
        <f>+Zał.1_WPF_bazowy!#REF!</f>
        <v>#REF!</v>
      </c>
      <c r="V49" s="260" t="e">
        <f>+Zał.1_WPF_bazowy!#REF!</f>
        <v>#REF!</v>
      </c>
      <c r="W49" s="260" t="e">
        <f>+Zał.1_WPF_bazowy!#REF!</f>
        <v>#REF!</v>
      </c>
      <c r="X49" s="260" t="e">
        <f>+Zał.1_WPF_bazowy!#REF!</f>
        <v>#REF!</v>
      </c>
      <c r="Y49" s="260" t="e">
        <f>+Zał.1_WPF_bazowy!#REF!</f>
        <v>#REF!</v>
      </c>
      <c r="Z49" s="260" t="e">
        <f>+Zał.1_WPF_bazowy!#REF!</f>
        <v>#REF!</v>
      </c>
      <c r="AA49" s="260" t="e">
        <f>+Zał.1_WPF_bazowy!#REF!</f>
        <v>#REF!</v>
      </c>
      <c r="AB49" s="260" t="e">
        <f>+Zał.1_WPF_bazowy!#REF!</f>
        <v>#REF!</v>
      </c>
      <c r="AC49" s="260" t="e">
        <f>+Zał.1_WPF_bazowy!#REF!</f>
        <v>#REF!</v>
      </c>
      <c r="AD49" s="260" t="e">
        <f>+Zał.1_WPF_bazowy!#REF!</f>
        <v>#REF!</v>
      </c>
      <c r="AE49" s="260" t="e">
        <f>+Zał.1_WPF_bazowy!#REF!</f>
        <v>#REF!</v>
      </c>
      <c r="AF49" s="260" t="e">
        <f>+Zał.1_WPF_bazowy!#REF!</f>
        <v>#REF!</v>
      </c>
      <c r="AG49" s="260" t="e">
        <f>+Zał.1_WPF_bazowy!#REF!</f>
        <v>#REF!</v>
      </c>
      <c r="AH49" s="260" t="e">
        <f>+Zał.1_WPF_bazowy!#REF!</f>
        <v>#REF!</v>
      </c>
      <c r="AI49" s="260" t="e">
        <f>+Zał.1_WPF_bazowy!#REF!</f>
        <v>#REF!</v>
      </c>
      <c r="AJ49" s="260" t="e">
        <f>+Zał.1_WPF_bazowy!#REF!</f>
        <v>#REF!</v>
      </c>
      <c r="AK49" s="260" t="e">
        <f>+Zał.1_WPF_bazowy!#REF!</f>
        <v>#REF!</v>
      </c>
      <c r="AL49" s="261" t="e">
        <f>+Zał.1_WPF_bazowy!#REF!</f>
        <v>#REF!</v>
      </c>
    </row>
    <row r="50" spans="1:253" s="97" customFormat="1" ht="15" outlineLevel="1">
      <c r="A50" s="309"/>
      <c r="B50" s="31">
        <v>8</v>
      </c>
      <c r="C50" s="366"/>
      <c r="D50" s="293" t="s">
        <v>146</v>
      </c>
      <c r="E50" s="201" t="s">
        <v>28</v>
      </c>
      <c r="F50" s="202" t="s">
        <v>28</v>
      </c>
      <c r="G50" s="202" t="s">
        <v>28</v>
      </c>
      <c r="H50" s="262" t="s">
        <v>28</v>
      </c>
      <c r="I50" s="263" t="s">
        <v>28</v>
      </c>
      <c r="J50" s="264" t="s">
        <v>28</v>
      </c>
      <c r="K50" s="264" t="s">
        <v>28</v>
      </c>
      <c r="L50" s="264" t="s">
        <v>28</v>
      </c>
      <c r="M50" s="264" t="s">
        <v>28</v>
      </c>
      <c r="N50" s="264" t="s">
        <v>28</v>
      </c>
      <c r="O50" s="264" t="s">
        <v>28</v>
      </c>
      <c r="P50" s="264" t="s">
        <v>28</v>
      </c>
      <c r="Q50" s="264" t="s">
        <v>28</v>
      </c>
      <c r="R50" s="264" t="s">
        <v>28</v>
      </c>
      <c r="S50" s="264" t="s">
        <v>28</v>
      </c>
      <c r="T50" s="264" t="s">
        <v>28</v>
      </c>
      <c r="U50" s="264" t="s">
        <v>28</v>
      </c>
      <c r="V50" s="264" t="s">
        <v>28</v>
      </c>
      <c r="W50" s="264" t="s">
        <v>28</v>
      </c>
      <c r="X50" s="264" t="s">
        <v>28</v>
      </c>
      <c r="Y50" s="264" t="s">
        <v>28</v>
      </c>
      <c r="Z50" s="264" t="s">
        <v>28</v>
      </c>
      <c r="AA50" s="264" t="s">
        <v>28</v>
      </c>
      <c r="AB50" s="264" t="s">
        <v>28</v>
      </c>
      <c r="AC50" s="264" t="s">
        <v>28</v>
      </c>
      <c r="AD50" s="264" t="s">
        <v>28</v>
      </c>
      <c r="AE50" s="264" t="s">
        <v>28</v>
      </c>
      <c r="AF50" s="264" t="s">
        <v>28</v>
      </c>
      <c r="AG50" s="264" t="s">
        <v>28</v>
      </c>
      <c r="AH50" s="264" t="s">
        <v>28</v>
      </c>
      <c r="AI50" s="264" t="s">
        <v>28</v>
      </c>
      <c r="AJ50" s="264" t="s">
        <v>28</v>
      </c>
      <c r="AK50" s="264" t="s">
        <v>28</v>
      </c>
      <c r="AL50" s="265" t="s">
        <v>28</v>
      </c>
    </row>
    <row r="51" spans="1:253" outlineLevel="2">
      <c r="A51" s="309"/>
      <c r="B51" s="32" t="s">
        <v>147</v>
      </c>
      <c r="C51" s="99" t="s">
        <v>382</v>
      </c>
      <c r="D51" s="294" t="s">
        <v>479</v>
      </c>
      <c r="E51" s="197">
        <f>Zał.1_WPF_bazowy!E51</f>
        <v>975297.61</v>
      </c>
      <c r="F51" s="198">
        <f>Zał.1_WPF_bazowy!F51</f>
        <v>3604694.11</v>
      </c>
      <c r="G51" s="198">
        <f>Zał.1_WPF_bazowy!G51</f>
        <v>2504739.7200000002</v>
      </c>
      <c r="H51" s="120">
        <f t="shared" ref="H51:AL51" si="8">+H11-H22</f>
        <v>2583957.8900000006</v>
      </c>
      <c r="I51" s="118">
        <f t="shared" si="8"/>
        <v>2364221.1899999995</v>
      </c>
      <c r="J51" s="119">
        <f t="shared" si="8"/>
        <v>1685000</v>
      </c>
      <c r="K51" s="119">
        <f t="shared" si="8"/>
        <v>2682000</v>
      </c>
      <c r="L51" s="119">
        <f t="shared" si="8"/>
        <v>2570000</v>
      </c>
      <c r="M51" s="119" t="e">
        <f t="shared" si="8"/>
        <v>#REF!</v>
      </c>
      <c r="N51" s="119" t="e">
        <f t="shared" si="8"/>
        <v>#REF!</v>
      </c>
      <c r="O51" s="119" t="e">
        <f t="shared" si="8"/>
        <v>#REF!</v>
      </c>
      <c r="P51" s="119" t="e">
        <f t="shared" si="8"/>
        <v>#REF!</v>
      </c>
      <c r="Q51" s="119" t="e">
        <f t="shared" si="8"/>
        <v>#REF!</v>
      </c>
      <c r="R51" s="119" t="e">
        <f t="shared" si="8"/>
        <v>#REF!</v>
      </c>
      <c r="S51" s="119" t="e">
        <f t="shared" si="8"/>
        <v>#REF!</v>
      </c>
      <c r="T51" s="119" t="e">
        <f t="shared" si="8"/>
        <v>#REF!</v>
      </c>
      <c r="U51" s="119" t="e">
        <f t="shared" si="8"/>
        <v>#REF!</v>
      </c>
      <c r="V51" s="119" t="e">
        <f t="shared" si="8"/>
        <v>#REF!</v>
      </c>
      <c r="W51" s="119" t="e">
        <f t="shared" si="8"/>
        <v>#REF!</v>
      </c>
      <c r="X51" s="119" t="e">
        <f t="shared" si="8"/>
        <v>#REF!</v>
      </c>
      <c r="Y51" s="119" t="e">
        <f t="shared" si="8"/>
        <v>#REF!</v>
      </c>
      <c r="Z51" s="119" t="e">
        <f t="shared" si="8"/>
        <v>#REF!</v>
      </c>
      <c r="AA51" s="119" t="e">
        <f t="shared" si="8"/>
        <v>#REF!</v>
      </c>
      <c r="AB51" s="119" t="e">
        <f t="shared" si="8"/>
        <v>#REF!</v>
      </c>
      <c r="AC51" s="119" t="e">
        <f t="shared" si="8"/>
        <v>#REF!</v>
      </c>
      <c r="AD51" s="119" t="e">
        <f t="shared" si="8"/>
        <v>#REF!</v>
      </c>
      <c r="AE51" s="119" t="e">
        <f t="shared" si="8"/>
        <v>#REF!</v>
      </c>
      <c r="AF51" s="119" t="e">
        <f t="shared" si="8"/>
        <v>#REF!</v>
      </c>
      <c r="AG51" s="119" t="e">
        <f t="shared" si="8"/>
        <v>#REF!</v>
      </c>
      <c r="AH51" s="119" t="e">
        <f t="shared" si="8"/>
        <v>#REF!</v>
      </c>
      <c r="AI51" s="119" t="e">
        <f t="shared" si="8"/>
        <v>#REF!</v>
      </c>
      <c r="AJ51" s="119" t="e">
        <f t="shared" si="8"/>
        <v>#REF!</v>
      </c>
      <c r="AK51" s="119" t="e">
        <f t="shared" si="8"/>
        <v>#REF!</v>
      </c>
      <c r="AL51" s="120" t="e">
        <f t="shared" si="8"/>
        <v>#REF!</v>
      </c>
    </row>
    <row r="52" spans="1:253" ht="24" outlineLevel="2">
      <c r="A52" s="309"/>
      <c r="B52" s="32" t="s">
        <v>148</v>
      </c>
      <c r="C52" s="99" t="s">
        <v>383</v>
      </c>
      <c r="D52" s="294" t="s">
        <v>478</v>
      </c>
      <c r="E52" s="197">
        <f t="shared" ref="E52:AL52" si="9">+IF(AND(E9&gt;=2013,E9&lt;=2015),+E11+E33+E35-(E22-E25),+E11+E33+E35-E22)</f>
        <v>1161314</v>
      </c>
      <c r="F52" s="198">
        <f t="shared" si="9"/>
        <v>4507213.4799999986</v>
      </c>
      <c r="G52" s="198">
        <f t="shared" si="9"/>
        <v>4241885.4600000009</v>
      </c>
      <c r="H52" s="120">
        <f t="shared" si="9"/>
        <v>4966380.6300000008</v>
      </c>
      <c r="I52" s="118">
        <f t="shared" si="9"/>
        <v>3133552.1899999995</v>
      </c>
      <c r="J52" s="119">
        <f t="shared" si="9"/>
        <v>1685000</v>
      </c>
      <c r="K52" s="119">
        <f t="shared" si="9"/>
        <v>2682000</v>
      </c>
      <c r="L52" s="119">
        <f t="shared" si="9"/>
        <v>2570000</v>
      </c>
      <c r="M52" s="119" t="e">
        <f t="shared" si="9"/>
        <v>#REF!</v>
      </c>
      <c r="N52" s="119" t="e">
        <f t="shared" si="9"/>
        <v>#REF!</v>
      </c>
      <c r="O52" s="119" t="e">
        <f t="shared" si="9"/>
        <v>#REF!</v>
      </c>
      <c r="P52" s="119" t="e">
        <f t="shared" si="9"/>
        <v>#REF!</v>
      </c>
      <c r="Q52" s="119" t="e">
        <f t="shared" si="9"/>
        <v>#REF!</v>
      </c>
      <c r="R52" s="119" t="e">
        <f t="shared" si="9"/>
        <v>#REF!</v>
      </c>
      <c r="S52" s="119" t="e">
        <f t="shared" si="9"/>
        <v>#REF!</v>
      </c>
      <c r="T52" s="119" t="e">
        <f t="shared" si="9"/>
        <v>#REF!</v>
      </c>
      <c r="U52" s="119" t="e">
        <f t="shared" si="9"/>
        <v>#REF!</v>
      </c>
      <c r="V52" s="119" t="e">
        <f t="shared" si="9"/>
        <v>#REF!</v>
      </c>
      <c r="W52" s="119" t="e">
        <f t="shared" si="9"/>
        <v>#REF!</v>
      </c>
      <c r="X52" s="119" t="e">
        <f t="shared" si="9"/>
        <v>#REF!</v>
      </c>
      <c r="Y52" s="119" t="e">
        <f t="shared" si="9"/>
        <v>#REF!</v>
      </c>
      <c r="Z52" s="119" t="e">
        <f t="shared" si="9"/>
        <v>#REF!</v>
      </c>
      <c r="AA52" s="119" t="e">
        <f t="shared" si="9"/>
        <v>#REF!</v>
      </c>
      <c r="AB52" s="119" t="e">
        <f t="shared" si="9"/>
        <v>#REF!</v>
      </c>
      <c r="AC52" s="119" t="e">
        <f t="shared" si="9"/>
        <v>#REF!</v>
      </c>
      <c r="AD52" s="119" t="e">
        <f t="shared" si="9"/>
        <v>#REF!</v>
      </c>
      <c r="AE52" s="119" t="e">
        <f t="shared" si="9"/>
        <v>#REF!</v>
      </c>
      <c r="AF52" s="119" t="e">
        <f t="shared" si="9"/>
        <v>#REF!</v>
      </c>
      <c r="AG52" s="119" t="e">
        <f t="shared" si="9"/>
        <v>#REF!</v>
      </c>
      <c r="AH52" s="119" t="e">
        <f t="shared" si="9"/>
        <v>#REF!</v>
      </c>
      <c r="AI52" s="119" t="e">
        <f t="shared" si="9"/>
        <v>#REF!</v>
      </c>
      <c r="AJ52" s="119" t="e">
        <f t="shared" si="9"/>
        <v>#REF!</v>
      </c>
      <c r="AK52" s="119" t="e">
        <f t="shared" si="9"/>
        <v>#REF!</v>
      </c>
      <c r="AL52" s="120" t="e">
        <f t="shared" si="9"/>
        <v>#REF!</v>
      </c>
    </row>
    <row r="53" spans="1:253" s="97" customFormat="1" ht="15" outlineLevel="1">
      <c r="A53" s="309" t="s">
        <v>28</v>
      </c>
      <c r="B53" s="31">
        <v>9</v>
      </c>
      <c r="C53" s="366"/>
      <c r="D53" s="293" t="s">
        <v>149</v>
      </c>
      <c r="E53" s="201" t="s">
        <v>28</v>
      </c>
      <c r="F53" s="202" t="s">
        <v>28</v>
      </c>
      <c r="G53" s="202" t="s">
        <v>28</v>
      </c>
      <c r="H53" s="262" t="s">
        <v>28</v>
      </c>
      <c r="I53" s="263" t="s">
        <v>28</v>
      </c>
      <c r="J53" s="264" t="s">
        <v>28</v>
      </c>
      <c r="K53" s="264" t="s">
        <v>28</v>
      </c>
      <c r="L53" s="264" t="s">
        <v>28</v>
      </c>
      <c r="M53" s="264" t="s">
        <v>28</v>
      </c>
      <c r="N53" s="264" t="s">
        <v>28</v>
      </c>
      <c r="O53" s="264" t="s">
        <v>28</v>
      </c>
      <c r="P53" s="264" t="s">
        <v>28</v>
      </c>
      <c r="Q53" s="264" t="s">
        <v>28</v>
      </c>
      <c r="R53" s="264" t="s">
        <v>28</v>
      </c>
      <c r="S53" s="264" t="s">
        <v>28</v>
      </c>
      <c r="T53" s="264" t="s">
        <v>28</v>
      </c>
      <c r="U53" s="264" t="s">
        <v>28</v>
      </c>
      <c r="V53" s="264" t="s">
        <v>28</v>
      </c>
      <c r="W53" s="264" t="s">
        <v>28</v>
      </c>
      <c r="X53" s="264" t="s">
        <v>28</v>
      </c>
      <c r="Y53" s="264" t="s">
        <v>28</v>
      </c>
      <c r="Z53" s="264" t="s">
        <v>28</v>
      </c>
      <c r="AA53" s="264" t="s">
        <v>28</v>
      </c>
      <c r="AB53" s="264" t="s">
        <v>28</v>
      </c>
      <c r="AC53" s="264" t="s">
        <v>28</v>
      </c>
      <c r="AD53" s="264" t="s">
        <v>28</v>
      </c>
      <c r="AE53" s="264" t="s">
        <v>28</v>
      </c>
      <c r="AF53" s="264" t="s">
        <v>28</v>
      </c>
      <c r="AG53" s="264" t="s">
        <v>28</v>
      </c>
      <c r="AH53" s="264" t="s">
        <v>28</v>
      </c>
      <c r="AI53" s="264" t="s">
        <v>28</v>
      </c>
      <c r="AJ53" s="264" t="s">
        <v>28</v>
      </c>
      <c r="AK53" s="264" t="s">
        <v>28</v>
      </c>
      <c r="AL53" s="265" t="s">
        <v>28</v>
      </c>
    </row>
    <row r="54" spans="1:253" ht="36" outlineLevel="2">
      <c r="A54" s="309" t="s">
        <v>28</v>
      </c>
      <c r="B54" s="32" t="s">
        <v>150</v>
      </c>
      <c r="C54" s="99" t="s">
        <v>385</v>
      </c>
      <c r="D54" s="294" t="s">
        <v>445</v>
      </c>
      <c r="E54" s="199">
        <f>Zał.1_WPF_bazowy!E54</f>
        <v>5.45E-2</v>
      </c>
      <c r="F54" s="200">
        <f>Zał.1_WPF_bazowy!F54</f>
        <v>9.6799999999999997E-2</v>
      </c>
      <c r="G54" s="200">
        <f>Zał.1_WPF_bazowy!G54</f>
        <v>6.1800000000000001E-2</v>
      </c>
      <c r="H54" s="117">
        <f t="shared" ref="H54:AL54" si="10">+IF(H10&lt;&gt;0,ROUND((H23+H27+H42)/H10,$K$7+2),"-")</f>
        <v>6.0900000000000003E-2</v>
      </c>
      <c r="I54" s="115">
        <f t="shared" si="10"/>
        <v>5.6399999999999999E-2</v>
      </c>
      <c r="J54" s="116">
        <f t="shared" si="10"/>
        <v>0</v>
      </c>
      <c r="K54" s="116">
        <f t="shared" si="10"/>
        <v>0</v>
      </c>
      <c r="L54" s="116">
        <f t="shared" si="10"/>
        <v>0</v>
      </c>
      <c r="M54" s="116" t="e">
        <f t="shared" si="10"/>
        <v>#REF!</v>
      </c>
      <c r="N54" s="116" t="e">
        <f t="shared" si="10"/>
        <v>#REF!</v>
      </c>
      <c r="O54" s="116" t="e">
        <f t="shared" si="10"/>
        <v>#REF!</v>
      </c>
      <c r="P54" s="116" t="e">
        <f t="shared" si="10"/>
        <v>#REF!</v>
      </c>
      <c r="Q54" s="116" t="e">
        <f t="shared" si="10"/>
        <v>#REF!</v>
      </c>
      <c r="R54" s="116" t="e">
        <f t="shared" si="10"/>
        <v>#REF!</v>
      </c>
      <c r="S54" s="116" t="e">
        <f t="shared" si="10"/>
        <v>#REF!</v>
      </c>
      <c r="T54" s="116" t="e">
        <f t="shared" si="10"/>
        <v>#REF!</v>
      </c>
      <c r="U54" s="116" t="e">
        <f t="shared" si="10"/>
        <v>#REF!</v>
      </c>
      <c r="V54" s="116" t="e">
        <f t="shared" si="10"/>
        <v>#REF!</v>
      </c>
      <c r="W54" s="116" t="e">
        <f t="shared" si="10"/>
        <v>#REF!</v>
      </c>
      <c r="X54" s="116" t="e">
        <f t="shared" si="10"/>
        <v>#REF!</v>
      </c>
      <c r="Y54" s="116" t="e">
        <f t="shared" si="10"/>
        <v>#REF!</v>
      </c>
      <c r="Z54" s="116" t="e">
        <f t="shared" si="10"/>
        <v>#REF!</v>
      </c>
      <c r="AA54" s="116" t="e">
        <f t="shared" si="10"/>
        <v>#REF!</v>
      </c>
      <c r="AB54" s="116" t="e">
        <f t="shared" si="10"/>
        <v>#REF!</v>
      </c>
      <c r="AC54" s="116" t="e">
        <f t="shared" si="10"/>
        <v>#REF!</v>
      </c>
      <c r="AD54" s="116" t="e">
        <f t="shared" si="10"/>
        <v>#REF!</v>
      </c>
      <c r="AE54" s="116" t="e">
        <f t="shared" si="10"/>
        <v>#REF!</v>
      </c>
      <c r="AF54" s="116" t="e">
        <f t="shared" si="10"/>
        <v>#REF!</v>
      </c>
      <c r="AG54" s="116" t="e">
        <f t="shared" si="10"/>
        <v>#REF!</v>
      </c>
      <c r="AH54" s="116" t="e">
        <f t="shared" si="10"/>
        <v>#REF!</v>
      </c>
      <c r="AI54" s="116" t="e">
        <f t="shared" si="10"/>
        <v>#REF!</v>
      </c>
      <c r="AJ54" s="116" t="e">
        <f t="shared" si="10"/>
        <v>#REF!</v>
      </c>
      <c r="AK54" s="116" t="e">
        <f t="shared" si="10"/>
        <v>#REF!</v>
      </c>
      <c r="AL54" s="117" t="e">
        <f t="shared" si="10"/>
        <v>#REF!</v>
      </c>
    </row>
    <row r="55" spans="1:253" ht="36" outlineLevel="2">
      <c r="A55" s="309" t="s">
        <v>28</v>
      </c>
      <c r="B55" s="32" t="s">
        <v>151</v>
      </c>
      <c r="C55" s="359" t="s">
        <v>387</v>
      </c>
      <c r="D55" s="294" t="s">
        <v>446</v>
      </c>
      <c r="E55" s="199">
        <f>Zał.1_WPF_bazowy!E55</f>
        <v>7.4000000000000003E-3</v>
      </c>
      <c r="F55" s="200">
        <f>Zał.1_WPF_bazowy!F55</f>
        <v>5.45E-2</v>
      </c>
      <c r="G55" s="200">
        <f>Zał.1_WPF_bazowy!G55</f>
        <v>6.1800000000000001E-2</v>
      </c>
      <c r="H55" s="117">
        <f>+IF(H10&lt;&gt;0,ROUND((H23-H24+H27-H28-H29+H42-H43)/(H10-H113),$K$7+2),"-")</f>
        <v>6.0900000000000003E-2</v>
      </c>
      <c r="I55" s="115">
        <f t="shared" ref="I55:AL55" si="11">+IF(I10&lt;&gt;0,ROUND((I23-I24+I27-I28-I29+I42-I43)/(I10-I113),$K$7+2),"-")</f>
        <v>5.6399999999999999E-2</v>
      </c>
      <c r="J55" s="116">
        <f t="shared" si="11"/>
        <v>0</v>
      </c>
      <c r="K55" s="116">
        <f t="shared" si="11"/>
        <v>0</v>
      </c>
      <c r="L55" s="116">
        <f t="shared" si="11"/>
        <v>0</v>
      </c>
      <c r="M55" s="116" t="e">
        <f t="shared" si="11"/>
        <v>#REF!</v>
      </c>
      <c r="N55" s="116" t="e">
        <f t="shared" si="11"/>
        <v>#REF!</v>
      </c>
      <c r="O55" s="116" t="e">
        <f t="shared" si="11"/>
        <v>#REF!</v>
      </c>
      <c r="P55" s="116" t="e">
        <f t="shared" si="11"/>
        <v>#REF!</v>
      </c>
      <c r="Q55" s="116" t="e">
        <f t="shared" si="11"/>
        <v>#REF!</v>
      </c>
      <c r="R55" s="116" t="e">
        <f t="shared" si="11"/>
        <v>#REF!</v>
      </c>
      <c r="S55" s="116" t="e">
        <f t="shared" si="11"/>
        <v>#REF!</v>
      </c>
      <c r="T55" s="116" t="e">
        <f t="shared" si="11"/>
        <v>#REF!</v>
      </c>
      <c r="U55" s="116" t="e">
        <f t="shared" si="11"/>
        <v>#REF!</v>
      </c>
      <c r="V55" s="116" t="e">
        <f t="shared" si="11"/>
        <v>#REF!</v>
      </c>
      <c r="W55" s="116" t="e">
        <f t="shared" si="11"/>
        <v>#REF!</v>
      </c>
      <c r="X55" s="116" t="e">
        <f t="shared" si="11"/>
        <v>#REF!</v>
      </c>
      <c r="Y55" s="116" t="e">
        <f t="shared" si="11"/>
        <v>#REF!</v>
      </c>
      <c r="Z55" s="116" t="e">
        <f t="shared" si="11"/>
        <v>#REF!</v>
      </c>
      <c r="AA55" s="116" t="e">
        <f t="shared" si="11"/>
        <v>#REF!</v>
      </c>
      <c r="AB55" s="116" t="e">
        <f t="shared" si="11"/>
        <v>#REF!</v>
      </c>
      <c r="AC55" s="116" t="e">
        <f t="shared" si="11"/>
        <v>#REF!</v>
      </c>
      <c r="AD55" s="116" t="e">
        <f t="shared" si="11"/>
        <v>#REF!</v>
      </c>
      <c r="AE55" s="116" t="e">
        <f t="shared" si="11"/>
        <v>#REF!</v>
      </c>
      <c r="AF55" s="116" t="e">
        <f t="shared" si="11"/>
        <v>#REF!</v>
      </c>
      <c r="AG55" s="116" t="e">
        <f t="shared" si="11"/>
        <v>#REF!</v>
      </c>
      <c r="AH55" s="116" t="e">
        <f t="shared" si="11"/>
        <v>#REF!</v>
      </c>
      <c r="AI55" s="116" t="e">
        <f t="shared" si="11"/>
        <v>#REF!</v>
      </c>
      <c r="AJ55" s="116" t="e">
        <f t="shared" si="11"/>
        <v>#REF!</v>
      </c>
      <c r="AK55" s="116" t="e">
        <f t="shared" si="11"/>
        <v>#REF!</v>
      </c>
      <c r="AL55" s="117" t="e">
        <f t="shared" si="11"/>
        <v>#REF!</v>
      </c>
    </row>
    <row r="56" spans="1:253" ht="24" outlineLevel="2">
      <c r="A56" s="309" t="s">
        <v>28</v>
      </c>
      <c r="B56" s="32" t="s">
        <v>152</v>
      </c>
      <c r="C56" s="99"/>
      <c r="D56" s="294" t="s">
        <v>447</v>
      </c>
      <c r="E56" s="197">
        <f>Zał.1_WPF_bazowy!E56</f>
        <v>0</v>
      </c>
      <c r="F56" s="198">
        <f>Zał.1_WPF_bazowy!F56</f>
        <v>0</v>
      </c>
      <c r="G56" s="198">
        <f>Zał.1_WPF_bazowy!G56</f>
        <v>0</v>
      </c>
      <c r="H56" s="251">
        <f>Zał.1_WPF_bazowy!H56</f>
        <v>0</v>
      </c>
      <c r="I56" s="252">
        <f>+Zał.1_WPF_bazowy!I56</f>
        <v>0</v>
      </c>
      <c r="J56" s="253">
        <f>+Zał.1_WPF_bazowy!J56</f>
        <v>0</v>
      </c>
      <c r="K56" s="253">
        <f>+Zał.1_WPF_bazowy!K56</f>
        <v>0</v>
      </c>
      <c r="L56" s="253">
        <f>+Zał.1_WPF_bazowy!L56</f>
        <v>0</v>
      </c>
      <c r="M56" s="253" t="e">
        <f>+Zał.1_WPF_bazowy!#REF!</f>
        <v>#REF!</v>
      </c>
      <c r="N56" s="253" t="e">
        <f>+Zał.1_WPF_bazowy!#REF!</f>
        <v>#REF!</v>
      </c>
      <c r="O56" s="253" t="e">
        <f>+Zał.1_WPF_bazowy!#REF!</f>
        <v>#REF!</v>
      </c>
      <c r="P56" s="253" t="e">
        <f>+Zał.1_WPF_bazowy!#REF!</f>
        <v>#REF!</v>
      </c>
      <c r="Q56" s="253" t="e">
        <f>+Zał.1_WPF_bazowy!#REF!</f>
        <v>#REF!</v>
      </c>
      <c r="R56" s="253" t="e">
        <f>+Zał.1_WPF_bazowy!#REF!</f>
        <v>#REF!</v>
      </c>
      <c r="S56" s="253" t="e">
        <f>+Zał.1_WPF_bazowy!#REF!</f>
        <v>#REF!</v>
      </c>
      <c r="T56" s="253" t="e">
        <f>+Zał.1_WPF_bazowy!#REF!</f>
        <v>#REF!</v>
      </c>
      <c r="U56" s="253" t="e">
        <f>+Zał.1_WPF_bazowy!#REF!</f>
        <v>#REF!</v>
      </c>
      <c r="V56" s="253" t="e">
        <f>+Zał.1_WPF_bazowy!#REF!</f>
        <v>#REF!</v>
      </c>
      <c r="W56" s="253" t="e">
        <f>+Zał.1_WPF_bazowy!#REF!</f>
        <v>#REF!</v>
      </c>
      <c r="X56" s="253" t="e">
        <f>+Zał.1_WPF_bazowy!#REF!</f>
        <v>#REF!</v>
      </c>
      <c r="Y56" s="253" t="e">
        <f>+Zał.1_WPF_bazowy!#REF!</f>
        <v>#REF!</v>
      </c>
      <c r="Z56" s="253" t="e">
        <f>+Zał.1_WPF_bazowy!#REF!</f>
        <v>#REF!</v>
      </c>
      <c r="AA56" s="253" t="e">
        <f>+Zał.1_WPF_bazowy!#REF!</f>
        <v>#REF!</v>
      </c>
      <c r="AB56" s="253" t="e">
        <f>+Zał.1_WPF_bazowy!#REF!</f>
        <v>#REF!</v>
      </c>
      <c r="AC56" s="253" t="e">
        <f>+Zał.1_WPF_bazowy!#REF!</f>
        <v>#REF!</v>
      </c>
      <c r="AD56" s="253" t="e">
        <f>+Zał.1_WPF_bazowy!#REF!</f>
        <v>#REF!</v>
      </c>
      <c r="AE56" s="253" t="e">
        <f>+Zał.1_WPF_bazowy!#REF!</f>
        <v>#REF!</v>
      </c>
      <c r="AF56" s="253" t="e">
        <f>+Zał.1_WPF_bazowy!#REF!</f>
        <v>#REF!</v>
      </c>
      <c r="AG56" s="253" t="e">
        <f>+Zał.1_WPF_bazowy!#REF!</f>
        <v>#REF!</v>
      </c>
      <c r="AH56" s="253" t="e">
        <f>+Zał.1_WPF_bazowy!#REF!</f>
        <v>#REF!</v>
      </c>
      <c r="AI56" s="253" t="e">
        <f>+Zał.1_WPF_bazowy!#REF!</f>
        <v>#REF!</v>
      </c>
      <c r="AJ56" s="253" t="e">
        <f>+Zał.1_WPF_bazowy!#REF!</f>
        <v>#REF!</v>
      </c>
      <c r="AK56" s="253" t="e">
        <f>+Zał.1_WPF_bazowy!#REF!</f>
        <v>#REF!</v>
      </c>
      <c r="AL56" s="254" t="e">
        <f>+Zał.1_WPF_bazowy!#REF!</f>
        <v>#REF!</v>
      </c>
    </row>
    <row r="57" spans="1:253" ht="36" outlineLevel="2">
      <c r="A57" s="309" t="s">
        <v>28</v>
      </c>
      <c r="B57" s="32" t="s">
        <v>153</v>
      </c>
      <c r="C57" s="359" t="s">
        <v>390</v>
      </c>
      <c r="D57" s="294" t="s">
        <v>448</v>
      </c>
      <c r="E57" s="199">
        <f>Zał.1_WPF_bazowy!E57</f>
        <v>7.4000000000000003E-3</v>
      </c>
      <c r="F57" s="200">
        <f>Zał.1_WPF_bazowy!F57</f>
        <v>5.45E-2</v>
      </c>
      <c r="G57" s="200">
        <f>Zał.1_WPF_bazowy!G57</f>
        <v>6.1800000000000001E-2</v>
      </c>
      <c r="H57" s="117">
        <f>+IF(H10&lt;&gt;0,ROUND((H23-H24+H27-H28-H29+H42-H43+H56)/(H10-H113),$K$7+2),"-")</f>
        <v>6.0900000000000003E-2</v>
      </c>
      <c r="I57" s="115">
        <f t="shared" ref="I57:AL57" si="12">+IF(I10&lt;&gt;0,ROUND((I23-I24+I27-I28-I29+I42-I43+I56)/(I10-I113),$K$7+2),"-")</f>
        <v>5.6399999999999999E-2</v>
      </c>
      <c r="J57" s="116">
        <f t="shared" si="12"/>
        <v>0</v>
      </c>
      <c r="K57" s="116">
        <f t="shared" si="12"/>
        <v>0</v>
      </c>
      <c r="L57" s="116">
        <f t="shared" si="12"/>
        <v>0</v>
      </c>
      <c r="M57" s="116" t="e">
        <f t="shared" si="12"/>
        <v>#REF!</v>
      </c>
      <c r="N57" s="116" t="e">
        <f t="shared" si="12"/>
        <v>#REF!</v>
      </c>
      <c r="O57" s="116" t="e">
        <f t="shared" si="12"/>
        <v>#REF!</v>
      </c>
      <c r="P57" s="116" t="e">
        <f t="shared" si="12"/>
        <v>#REF!</v>
      </c>
      <c r="Q57" s="116" t="e">
        <f t="shared" si="12"/>
        <v>#REF!</v>
      </c>
      <c r="R57" s="116" t="e">
        <f t="shared" si="12"/>
        <v>#REF!</v>
      </c>
      <c r="S57" s="116" t="e">
        <f t="shared" si="12"/>
        <v>#REF!</v>
      </c>
      <c r="T57" s="116" t="e">
        <f t="shared" si="12"/>
        <v>#REF!</v>
      </c>
      <c r="U57" s="116" t="e">
        <f t="shared" si="12"/>
        <v>#REF!</v>
      </c>
      <c r="V57" s="116" t="e">
        <f t="shared" si="12"/>
        <v>#REF!</v>
      </c>
      <c r="W57" s="116" t="e">
        <f t="shared" si="12"/>
        <v>#REF!</v>
      </c>
      <c r="X57" s="116" t="e">
        <f t="shared" si="12"/>
        <v>#REF!</v>
      </c>
      <c r="Y57" s="116" t="e">
        <f t="shared" si="12"/>
        <v>#REF!</v>
      </c>
      <c r="Z57" s="116" t="e">
        <f t="shared" si="12"/>
        <v>#REF!</v>
      </c>
      <c r="AA57" s="116" t="e">
        <f t="shared" si="12"/>
        <v>#REF!</v>
      </c>
      <c r="AB57" s="116" t="e">
        <f t="shared" si="12"/>
        <v>#REF!</v>
      </c>
      <c r="AC57" s="116" t="e">
        <f t="shared" si="12"/>
        <v>#REF!</v>
      </c>
      <c r="AD57" s="116" t="e">
        <f t="shared" si="12"/>
        <v>#REF!</v>
      </c>
      <c r="AE57" s="116" t="e">
        <f t="shared" si="12"/>
        <v>#REF!</v>
      </c>
      <c r="AF57" s="116" t="e">
        <f t="shared" si="12"/>
        <v>#REF!</v>
      </c>
      <c r="AG57" s="116" t="e">
        <f t="shared" si="12"/>
        <v>#REF!</v>
      </c>
      <c r="AH57" s="116" t="e">
        <f t="shared" si="12"/>
        <v>#REF!</v>
      </c>
      <c r="AI57" s="116" t="e">
        <f t="shared" si="12"/>
        <v>#REF!</v>
      </c>
      <c r="AJ57" s="116" t="e">
        <f t="shared" si="12"/>
        <v>#REF!</v>
      </c>
      <c r="AK57" s="116" t="e">
        <f t="shared" si="12"/>
        <v>#REF!</v>
      </c>
      <c r="AL57" s="117" t="e">
        <f t="shared" si="12"/>
        <v>#REF!</v>
      </c>
    </row>
    <row r="58" spans="1:253" ht="24" outlineLevel="2">
      <c r="A58" s="309" t="s">
        <v>28</v>
      </c>
      <c r="B58" s="98" t="s">
        <v>154</v>
      </c>
      <c r="C58" s="371" t="s">
        <v>392</v>
      </c>
      <c r="D58" s="374" t="s">
        <v>444</v>
      </c>
      <c r="E58" s="244">
        <f>+ROUND(IF(AND(E9&gt;=2013,E9&lt;=2018),IF(E10&lt;&gt;0,(E11-E113+E19-E22+E25+E114)/(E10-E113),0),IF(E10&lt;&gt;0,(E11-E113+E19-E22+E114)/(E10-E113),0)),$K$7+2)</f>
        <v>9.5100000000000004E-2</v>
      </c>
      <c r="F58" s="116">
        <f t="shared" ref="F58:AL58" si="13">+ROUND(IF(AND(F9&gt;=2013,F9&lt;=2018),IF(F10&lt;&gt;0,(F11-F113+F19-F22+F25+F114)/(F10-F113),0),IF(F10&lt;&gt;0,(F11-F113+F19-F22+F114)/(F10-F113),0)),$K$7+2)</f>
        <v>0.26129999999999998</v>
      </c>
      <c r="G58" s="116">
        <f t="shared" si="13"/>
        <v>0.2104</v>
      </c>
      <c r="H58" s="117">
        <f t="shared" si="13"/>
        <v>0.20380000000000001</v>
      </c>
      <c r="I58" s="115">
        <f t="shared" si="13"/>
        <v>0.182</v>
      </c>
      <c r="J58" s="116">
        <f t="shared" si="13"/>
        <v>0.15570000000000001</v>
      </c>
      <c r="K58" s="116">
        <f t="shared" si="13"/>
        <v>0.22259999999999999</v>
      </c>
      <c r="L58" s="116">
        <f t="shared" si="13"/>
        <v>0.2112</v>
      </c>
      <c r="M58" s="116" t="e">
        <f t="shared" si="13"/>
        <v>#REF!</v>
      </c>
      <c r="N58" s="116" t="e">
        <f t="shared" si="13"/>
        <v>#REF!</v>
      </c>
      <c r="O58" s="116" t="e">
        <f t="shared" si="13"/>
        <v>#REF!</v>
      </c>
      <c r="P58" s="116" t="e">
        <f t="shared" si="13"/>
        <v>#REF!</v>
      </c>
      <c r="Q58" s="116" t="e">
        <f t="shared" si="13"/>
        <v>#REF!</v>
      </c>
      <c r="R58" s="116" t="e">
        <f t="shared" si="13"/>
        <v>#REF!</v>
      </c>
      <c r="S58" s="116" t="e">
        <f t="shared" si="13"/>
        <v>#REF!</v>
      </c>
      <c r="T58" s="116" t="e">
        <f t="shared" si="13"/>
        <v>#REF!</v>
      </c>
      <c r="U58" s="116" t="e">
        <f t="shared" si="13"/>
        <v>#REF!</v>
      </c>
      <c r="V58" s="116" t="e">
        <f t="shared" si="13"/>
        <v>#REF!</v>
      </c>
      <c r="W58" s="116" t="e">
        <f t="shared" si="13"/>
        <v>#REF!</v>
      </c>
      <c r="X58" s="116" t="e">
        <f t="shared" si="13"/>
        <v>#REF!</v>
      </c>
      <c r="Y58" s="116" t="e">
        <f t="shared" si="13"/>
        <v>#REF!</v>
      </c>
      <c r="Z58" s="116" t="e">
        <f t="shared" si="13"/>
        <v>#REF!</v>
      </c>
      <c r="AA58" s="116" t="e">
        <f t="shared" si="13"/>
        <v>#REF!</v>
      </c>
      <c r="AB58" s="116" t="e">
        <f t="shared" si="13"/>
        <v>#REF!</v>
      </c>
      <c r="AC58" s="116" t="e">
        <f t="shared" si="13"/>
        <v>#REF!</v>
      </c>
      <c r="AD58" s="116" t="e">
        <f t="shared" si="13"/>
        <v>#REF!</v>
      </c>
      <c r="AE58" s="116" t="e">
        <f t="shared" si="13"/>
        <v>#REF!</v>
      </c>
      <c r="AF58" s="116" t="e">
        <f t="shared" si="13"/>
        <v>#REF!</v>
      </c>
      <c r="AG58" s="116" t="e">
        <f t="shared" si="13"/>
        <v>#REF!</v>
      </c>
      <c r="AH58" s="116" t="e">
        <f t="shared" si="13"/>
        <v>#REF!</v>
      </c>
      <c r="AI58" s="116" t="e">
        <f t="shared" si="13"/>
        <v>#REF!</v>
      </c>
      <c r="AJ58" s="116" t="e">
        <f t="shared" si="13"/>
        <v>#REF!</v>
      </c>
      <c r="AK58" s="116" t="e">
        <f t="shared" si="13"/>
        <v>#REF!</v>
      </c>
      <c r="AL58" s="117" t="e">
        <f t="shared" si="13"/>
        <v>#REF!</v>
      </c>
    </row>
    <row r="59" spans="1:253" ht="36" outlineLevel="2">
      <c r="A59" s="309" t="s">
        <v>28</v>
      </c>
      <c r="B59" s="32" t="s">
        <v>155</v>
      </c>
      <c r="C59" s="99" t="s">
        <v>394</v>
      </c>
      <c r="D59" s="294" t="s">
        <v>449</v>
      </c>
      <c r="E59" s="344" t="str">
        <f>Zał.1_WPF_bazowy!E59</f>
        <v>x</v>
      </c>
      <c r="F59" s="345" t="str">
        <f>Zał.1_WPF_bazowy!F59</f>
        <v>x</v>
      </c>
      <c r="G59" s="345" t="str">
        <f>Zał.1_WPF_bazowy!G59</f>
        <v>x</v>
      </c>
      <c r="H59" s="346" t="str">
        <f>Zał.1_WPF_bazowy!H59</f>
        <v>x</v>
      </c>
      <c r="I59" s="115">
        <f>+IF(I10&lt;&gt;0,(G58+F58+E58)/3,"-")</f>
        <v>0.18893333333333331</v>
      </c>
      <c r="J59" s="116">
        <f>+IF(J10&lt;&gt;0,(I58+G58+F58)/3,"-")</f>
        <v>0.21789999999999998</v>
      </c>
      <c r="K59" s="116">
        <f>+IF(K10&lt;&gt;0,(J58+I58+G58)/3,"-")</f>
        <v>0.1827</v>
      </c>
      <c r="L59" s="116">
        <f t="shared" ref="L59:AL59" si="14">+IF(L10&lt;&gt;0,(K58+J58+I58)/3,"-")</f>
        <v>0.18676666666666666</v>
      </c>
      <c r="M59" s="116" t="e">
        <f t="shared" si="14"/>
        <v>#REF!</v>
      </c>
      <c r="N59" s="116" t="e">
        <f t="shared" si="14"/>
        <v>#REF!</v>
      </c>
      <c r="O59" s="116" t="e">
        <f t="shared" si="14"/>
        <v>#REF!</v>
      </c>
      <c r="P59" s="116" t="e">
        <f t="shared" si="14"/>
        <v>#REF!</v>
      </c>
      <c r="Q59" s="116" t="e">
        <f t="shared" si="14"/>
        <v>#REF!</v>
      </c>
      <c r="R59" s="116" t="e">
        <f t="shared" si="14"/>
        <v>#REF!</v>
      </c>
      <c r="S59" s="116" t="e">
        <f t="shared" si="14"/>
        <v>#REF!</v>
      </c>
      <c r="T59" s="116" t="e">
        <f t="shared" si="14"/>
        <v>#REF!</v>
      </c>
      <c r="U59" s="116" t="e">
        <f t="shared" si="14"/>
        <v>#REF!</v>
      </c>
      <c r="V59" s="116" t="e">
        <f t="shared" si="14"/>
        <v>#REF!</v>
      </c>
      <c r="W59" s="116" t="e">
        <f t="shared" si="14"/>
        <v>#REF!</v>
      </c>
      <c r="X59" s="116" t="e">
        <f t="shared" si="14"/>
        <v>#REF!</v>
      </c>
      <c r="Y59" s="116" t="e">
        <f t="shared" si="14"/>
        <v>#REF!</v>
      </c>
      <c r="Z59" s="116" t="e">
        <f t="shared" si="14"/>
        <v>#REF!</v>
      </c>
      <c r="AA59" s="116" t="e">
        <f t="shared" si="14"/>
        <v>#REF!</v>
      </c>
      <c r="AB59" s="116" t="e">
        <f t="shared" si="14"/>
        <v>#REF!</v>
      </c>
      <c r="AC59" s="116" t="e">
        <f t="shared" si="14"/>
        <v>#REF!</v>
      </c>
      <c r="AD59" s="116" t="e">
        <f t="shared" si="14"/>
        <v>#REF!</v>
      </c>
      <c r="AE59" s="116" t="e">
        <f t="shared" si="14"/>
        <v>#REF!</v>
      </c>
      <c r="AF59" s="116" t="e">
        <f t="shared" si="14"/>
        <v>#REF!</v>
      </c>
      <c r="AG59" s="116" t="e">
        <f t="shared" si="14"/>
        <v>#REF!</v>
      </c>
      <c r="AH59" s="116" t="e">
        <f t="shared" si="14"/>
        <v>#REF!</v>
      </c>
      <c r="AI59" s="116" t="e">
        <f t="shared" si="14"/>
        <v>#REF!</v>
      </c>
      <c r="AJ59" s="116" t="e">
        <f t="shared" si="14"/>
        <v>#REF!</v>
      </c>
      <c r="AK59" s="116" t="e">
        <f t="shared" si="14"/>
        <v>#REF!</v>
      </c>
      <c r="AL59" s="117" t="e">
        <f t="shared" si="14"/>
        <v>#REF!</v>
      </c>
    </row>
    <row r="60" spans="1:253" ht="36" outlineLevel="2">
      <c r="A60" s="309" t="s">
        <v>28</v>
      </c>
      <c r="B60" s="32" t="s">
        <v>83</v>
      </c>
      <c r="C60" s="99" t="s">
        <v>394</v>
      </c>
      <c r="D60" s="295" t="s">
        <v>450</v>
      </c>
      <c r="E60" s="344" t="str">
        <f>Zał.1_WPF_bazowy!E60</f>
        <v>x</v>
      </c>
      <c r="F60" s="345" t="str">
        <f>Zał.1_WPF_bazowy!F60</f>
        <v>x</v>
      </c>
      <c r="G60" s="345" t="str">
        <f>Zał.1_WPF_bazowy!G60</f>
        <v>x</v>
      </c>
      <c r="H60" s="346" t="str">
        <f>Zał.1_WPF_bazowy!H60</f>
        <v>x</v>
      </c>
      <c r="I60" s="115">
        <f>+IF(I10&lt;&gt;0,ROUND((H58+F58+E58)/3,$K$7+2),"-")</f>
        <v>0.1867</v>
      </c>
      <c r="J60" s="116">
        <f>+IF(J10&lt;&gt;0,ROUND((I58+H58+F58)/3,$K$7+2),"-")</f>
        <v>0.2157</v>
      </c>
      <c r="K60" s="116">
        <f t="shared" ref="K60:AL60" si="15">+IF(K10&lt;&gt;0,ROUND((J58+I58+H58)/3,$K$7+2),"-")</f>
        <v>0.18049999999999999</v>
      </c>
      <c r="L60" s="116">
        <f t="shared" si="15"/>
        <v>0.18679999999999999</v>
      </c>
      <c r="M60" s="116" t="e">
        <f t="shared" si="15"/>
        <v>#REF!</v>
      </c>
      <c r="N60" s="116" t="e">
        <f t="shared" si="15"/>
        <v>#REF!</v>
      </c>
      <c r="O60" s="116" t="e">
        <f t="shared" si="15"/>
        <v>#REF!</v>
      </c>
      <c r="P60" s="116" t="e">
        <f t="shared" si="15"/>
        <v>#REF!</v>
      </c>
      <c r="Q60" s="116" t="e">
        <f t="shared" si="15"/>
        <v>#REF!</v>
      </c>
      <c r="R60" s="116" t="e">
        <f t="shared" si="15"/>
        <v>#REF!</v>
      </c>
      <c r="S60" s="116" t="e">
        <f t="shared" si="15"/>
        <v>#REF!</v>
      </c>
      <c r="T60" s="116" t="e">
        <f t="shared" si="15"/>
        <v>#REF!</v>
      </c>
      <c r="U60" s="116" t="e">
        <f t="shared" si="15"/>
        <v>#REF!</v>
      </c>
      <c r="V60" s="116" t="e">
        <f t="shared" si="15"/>
        <v>#REF!</v>
      </c>
      <c r="W60" s="116" t="e">
        <f t="shared" si="15"/>
        <v>#REF!</v>
      </c>
      <c r="X60" s="116" t="e">
        <f t="shared" si="15"/>
        <v>#REF!</v>
      </c>
      <c r="Y60" s="116" t="e">
        <f t="shared" si="15"/>
        <v>#REF!</v>
      </c>
      <c r="Z60" s="116" t="e">
        <f t="shared" si="15"/>
        <v>#REF!</v>
      </c>
      <c r="AA60" s="116" t="e">
        <f t="shared" si="15"/>
        <v>#REF!</v>
      </c>
      <c r="AB60" s="116" t="e">
        <f t="shared" si="15"/>
        <v>#REF!</v>
      </c>
      <c r="AC60" s="116" t="e">
        <f t="shared" si="15"/>
        <v>#REF!</v>
      </c>
      <c r="AD60" s="116" t="e">
        <f t="shared" si="15"/>
        <v>#REF!</v>
      </c>
      <c r="AE60" s="116" t="e">
        <f t="shared" si="15"/>
        <v>#REF!</v>
      </c>
      <c r="AF60" s="116" t="e">
        <f t="shared" si="15"/>
        <v>#REF!</v>
      </c>
      <c r="AG60" s="116" t="e">
        <f t="shared" si="15"/>
        <v>#REF!</v>
      </c>
      <c r="AH60" s="116" t="e">
        <f t="shared" si="15"/>
        <v>#REF!</v>
      </c>
      <c r="AI60" s="116" t="e">
        <f t="shared" si="15"/>
        <v>#REF!</v>
      </c>
      <c r="AJ60" s="116" t="e">
        <f t="shared" si="15"/>
        <v>#REF!</v>
      </c>
      <c r="AK60" s="116" t="e">
        <f t="shared" si="15"/>
        <v>#REF!</v>
      </c>
      <c r="AL60" s="117" t="e">
        <f t="shared" si="15"/>
        <v>#REF!</v>
      </c>
    </row>
    <row r="61" spans="1:253" ht="36" outlineLevel="2">
      <c r="A61" s="309" t="s">
        <v>28</v>
      </c>
      <c r="B61" s="32" t="s">
        <v>156</v>
      </c>
      <c r="C61" s="99" t="s">
        <v>397</v>
      </c>
      <c r="D61" s="294" t="s">
        <v>477</v>
      </c>
      <c r="E61" s="344" t="str">
        <f>Zał.1_WPF_bazowy!E61</f>
        <v>x</v>
      </c>
      <c r="F61" s="345" t="str">
        <f>Zał.1_WPF_bazowy!F61</f>
        <v>x</v>
      </c>
      <c r="G61" s="345" t="str">
        <f>Zał.1_WPF_bazowy!G61</f>
        <v>x</v>
      </c>
      <c r="H61" s="346" t="str">
        <f>Zał.1_WPF_bazowy!H61</f>
        <v>x</v>
      </c>
      <c r="I61" s="121" t="str">
        <f t="shared" ref="I61:AL61" si="16">+IF(I10&lt;&gt;0,IF(I59&gt;=I57,"Spełniona","Nie spełniona"),"-")</f>
        <v>Spełniona</v>
      </c>
      <c r="J61" s="121" t="str">
        <f t="shared" si="16"/>
        <v>Spełniona</v>
      </c>
      <c r="K61" s="121" t="str">
        <f t="shared" si="16"/>
        <v>Spełniona</v>
      </c>
      <c r="L61" s="121" t="str">
        <f t="shared" si="16"/>
        <v>Spełniona</v>
      </c>
      <c r="M61" s="121" t="e">
        <f t="shared" si="16"/>
        <v>#REF!</v>
      </c>
      <c r="N61" s="121" t="e">
        <f t="shared" si="16"/>
        <v>#REF!</v>
      </c>
      <c r="O61" s="121" t="e">
        <f t="shared" si="16"/>
        <v>#REF!</v>
      </c>
      <c r="P61" s="121" t="e">
        <f t="shared" si="16"/>
        <v>#REF!</v>
      </c>
      <c r="Q61" s="121" t="e">
        <f t="shared" si="16"/>
        <v>#REF!</v>
      </c>
      <c r="R61" s="121" t="e">
        <f t="shared" si="16"/>
        <v>#REF!</v>
      </c>
      <c r="S61" s="121" t="e">
        <f t="shared" si="16"/>
        <v>#REF!</v>
      </c>
      <c r="T61" s="121" t="e">
        <f t="shared" si="16"/>
        <v>#REF!</v>
      </c>
      <c r="U61" s="121" t="e">
        <f t="shared" si="16"/>
        <v>#REF!</v>
      </c>
      <c r="V61" s="121" t="e">
        <f t="shared" si="16"/>
        <v>#REF!</v>
      </c>
      <c r="W61" s="121" t="e">
        <f t="shared" si="16"/>
        <v>#REF!</v>
      </c>
      <c r="X61" s="121" t="e">
        <f t="shared" si="16"/>
        <v>#REF!</v>
      </c>
      <c r="Y61" s="121" t="e">
        <f t="shared" si="16"/>
        <v>#REF!</v>
      </c>
      <c r="Z61" s="121" t="e">
        <f t="shared" si="16"/>
        <v>#REF!</v>
      </c>
      <c r="AA61" s="121" t="e">
        <f t="shared" si="16"/>
        <v>#REF!</v>
      </c>
      <c r="AB61" s="121" t="e">
        <f t="shared" si="16"/>
        <v>#REF!</v>
      </c>
      <c r="AC61" s="121" t="e">
        <f t="shared" si="16"/>
        <v>#REF!</v>
      </c>
      <c r="AD61" s="121" t="e">
        <f t="shared" si="16"/>
        <v>#REF!</v>
      </c>
      <c r="AE61" s="121" t="e">
        <f t="shared" si="16"/>
        <v>#REF!</v>
      </c>
      <c r="AF61" s="121" t="e">
        <f t="shared" si="16"/>
        <v>#REF!</v>
      </c>
      <c r="AG61" s="121" t="e">
        <f t="shared" si="16"/>
        <v>#REF!</v>
      </c>
      <c r="AH61" s="121" t="e">
        <f t="shared" si="16"/>
        <v>#REF!</v>
      </c>
      <c r="AI61" s="121" t="e">
        <f t="shared" si="16"/>
        <v>#REF!</v>
      </c>
      <c r="AJ61" s="121" t="e">
        <f t="shared" si="16"/>
        <v>#REF!</v>
      </c>
      <c r="AK61" s="121" t="e">
        <f t="shared" si="16"/>
        <v>#REF!</v>
      </c>
      <c r="AL61" s="122" t="e">
        <f t="shared" si="16"/>
        <v>#REF!</v>
      </c>
    </row>
    <row r="62" spans="1:253" ht="36" outlineLevel="2">
      <c r="A62" s="309" t="s">
        <v>28</v>
      </c>
      <c r="B62" s="32" t="s">
        <v>84</v>
      </c>
      <c r="C62" s="99" t="s">
        <v>399</v>
      </c>
      <c r="D62" s="295" t="s">
        <v>451</v>
      </c>
      <c r="E62" s="344" t="str">
        <f>Zał.1_WPF_bazowy!E62</f>
        <v>x</v>
      </c>
      <c r="F62" s="345" t="str">
        <f>Zał.1_WPF_bazowy!F62</f>
        <v>x</v>
      </c>
      <c r="G62" s="345" t="str">
        <f>Zał.1_WPF_bazowy!G62</f>
        <v>x</v>
      </c>
      <c r="H62" s="346" t="str">
        <f>Zał.1_WPF_bazowy!H62</f>
        <v>x</v>
      </c>
      <c r="I62" s="121" t="str">
        <f t="shared" ref="I62:AL62" si="17">+IF(I10&lt;&gt;0,IF(I60&gt;=I57,"Spełniona","Nie spełniona"),"-")</f>
        <v>Spełniona</v>
      </c>
      <c r="J62" s="121" t="str">
        <f t="shared" si="17"/>
        <v>Spełniona</v>
      </c>
      <c r="K62" s="121" t="str">
        <f t="shared" si="17"/>
        <v>Spełniona</v>
      </c>
      <c r="L62" s="121" t="str">
        <f t="shared" si="17"/>
        <v>Spełniona</v>
      </c>
      <c r="M62" s="121" t="e">
        <f t="shared" si="17"/>
        <v>#REF!</v>
      </c>
      <c r="N62" s="121" t="e">
        <f t="shared" si="17"/>
        <v>#REF!</v>
      </c>
      <c r="O62" s="121" t="e">
        <f t="shared" si="17"/>
        <v>#REF!</v>
      </c>
      <c r="P62" s="121" t="e">
        <f t="shared" si="17"/>
        <v>#REF!</v>
      </c>
      <c r="Q62" s="121" t="e">
        <f t="shared" si="17"/>
        <v>#REF!</v>
      </c>
      <c r="R62" s="121" t="e">
        <f t="shared" si="17"/>
        <v>#REF!</v>
      </c>
      <c r="S62" s="121" t="e">
        <f t="shared" si="17"/>
        <v>#REF!</v>
      </c>
      <c r="T62" s="121" t="e">
        <f t="shared" si="17"/>
        <v>#REF!</v>
      </c>
      <c r="U62" s="121" t="e">
        <f t="shared" si="17"/>
        <v>#REF!</v>
      </c>
      <c r="V62" s="121" t="e">
        <f t="shared" si="17"/>
        <v>#REF!</v>
      </c>
      <c r="W62" s="121" t="e">
        <f t="shared" si="17"/>
        <v>#REF!</v>
      </c>
      <c r="X62" s="121" t="e">
        <f t="shared" si="17"/>
        <v>#REF!</v>
      </c>
      <c r="Y62" s="121" t="e">
        <f t="shared" si="17"/>
        <v>#REF!</v>
      </c>
      <c r="Z62" s="121" t="e">
        <f t="shared" si="17"/>
        <v>#REF!</v>
      </c>
      <c r="AA62" s="121" t="e">
        <f t="shared" si="17"/>
        <v>#REF!</v>
      </c>
      <c r="AB62" s="121" t="e">
        <f t="shared" si="17"/>
        <v>#REF!</v>
      </c>
      <c r="AC62" s="121" t="e">
        <f t="shared" si="17"/>
        <v>#REF!</v>
      </c>
      <c r="AD62" s="121" t="e">
        <f t="shared" si="17"/>
        <v>#REF!</v>
      </c>
      <c r="AE62" s="121" t="e">
        <f t="shared" si="17"/>
        <v>#REF!</v>
      </c>
      <c r="AF62" s="121" t="e">
        <f t="shared" si="17"/>
        <v>#REF!</v>
      </c>
      <c r="AG62" s="121" t="e">
        <f t="shared" si="17"/>
        <v>#REF!</v>
      </c>
      <c r="AH62" s="121" t="e">
        <f t="shared" si="17"/>
        <v>#REF!</v>
      </c>
      <c r="AI62" s="121" t="e">
        <f t="shared" si="17"/>
        <v>#REF!</v>
      </c>
      <c r="AJ62" s="121" t="e">
        <f t="shared" si="17"/>
        <v>#REF!</v>
      </c>
      <c r="AK62" s="121" t="e">
        <f t="shared" si="17"/>
        <v>#REF!</v>
      </c>
      <c r="AL62" s="122" t="e">
        <f t="shared" si="17"/>
        <v>#REF!</v>
      </c>
    </row>
    <row r="63" spans="1:253" s="97" customFormat="1" ht="15" outlineLevel="1">
      <c r="A63" s="309"/>
      <c r="B63" s="31">
        <v>10</v>
      </c>
      <c r="C63" s="366"/>
      <c r="D63" s="293" t="s">
        <v>85</v>
      </c>
      <c r="E63" s="195">
        <f>Zał.1_WPF_bazowy!E63</f>
        <v>0</v>
      </c>
      <c r="F63" s="196">
        <f>Zał.1_WPF_bazowy!F63</f>
        <v>0</v>
      </c>
      <c r="G63" s="196">
        <f>Zał.1_WPF_bazowy!G63</f>
        <v>0</v>
      </c>
      <c r="H63" s="255">
        <f>Zał.1_WPF_bazowy!H63</f>
        <v>0</v>
      </c>
      <c r="I63" s="259">
        <f>+Zał.1_WPF_bazowy!I63</f>
        <v>29625.19</v>
      </c>
      <c r="J63" s="260">
        <f>+Zał.1_WPF_bazowy!J63</f>
        <v>0</v>
      </c>
      <c r="K63" s="260">
        <f>+Zał.1_WPF_bazowy!K63</f>
        <v>0</v>
      </c>
      <c r="L63" s="260">
        <f>+Zał.1_WPF_bazowy!L63</f>
        <v>0</v>
      </c>
      <c r="M63" s="260" t="e">
        <f>+Zał.1_WPF_bazowy!#REF!</f>
        <v>#REF!</v>
      </c>
      <c r="N63" s="260" t="e">
        <f>+Zał.1_WPF_bazowy!#REF!</f>
        <v>#REF!</v>
      </c>
      <c r="O63" s="260" t="e">
        <f>+Zał.1_WPF_bazowy!#REF!</f>
        <v>#REF!</v>
      </c>
      <c r="P63" s="260" t="e">
        <f>+Zał.1_WPF_bazowy!#REF!</f>
        <v>#REF!</v>
      </c>
      <c r="Q63" s="260" t="e">
        <f>+Zał.1_WPF_bazowy!#REF!</f>
        <v>#REF!</v>
      </c>
      <c r="R63" s="260" t="e">
        <f>+Zał.1_WPF_bazowy!#REF!</f>
        <v>#REF!</v>
      </c>
      <c r="S63" s="260" t="e">
        <f>+Zał.1_WPF_bazowy!#REF!</f>
        <v>#REF!</v>
      </c>
      <c r="T63" s="260" t="e">
        <f>+Zał.1_WPF_bazowy!#REF!</f>
        <v>#REF!</v>
      </c>
      <c r="U63" s="260" t="e">
        <f>+Zał.1_WPF_bazowy!#REF!</f>
        <v>#REF!</v>
      </c>
      <c r="V63" s="260" t="e">
        <f>+Zał.1_WPF_bazowy!#REF!</f>
        <v>#REF!</v>
      </c>
      <c r="W63" s="260" t="e">
        <f>+Zał.1_WPF_bazowy!#REF!</f>
        <v>#REF!</v>
      </c>
      <c r="X63" s="260" t="e">
        <f>+Zał.1_WPF_bazowy!#REF!</f>
        <v>#REF!</v>
      </c>
      <c r="Y63" s="260" t="e">
        <f>+Zał.1_WPF_bazowy!#REF!</f>
        <v>#REF!</v>
      </c>
      <c r="Z63" s="260" t="e">
        <f>+Zał.1_WPF_bazowy!#REF!</f>
        <v>#REF!</v>
      </c>
      <c r="AA63" s="260" t="e">
        <f>+Zał.1_WPF_bazowy!#REF!</f>
        <v>#REF!</v>
      </c>
      <c r="AB63" s="260" t="e">
        <f>+Zał.1_WPF_bazowy!#REF!</f>
        <v>#REF!</v>
      </c>
      <c r="AC63" s="260" t="e">
        <f>+Zał.1_WPF_bazowy!#REF!</f>
        <v>#REF!</v>
      </c>
      <c r="AD63" s="260" t="e">
        <f>+Zał.1_WPF_bazowy!#REF!</f>
        <v>#REF!</v>
      </c>
      <c r="AE63" s="260" t="e">
        <f>+Zał.1_WPF_bazowy!#REF!</f>
        <v>#REF!</v>
      </c>
      <c r="AF63" s="260" t="e">
        <f>+Zał.1_WPF_bazowy!#REF!</f>
        <v>#REF!</v>
      </c>
      <c r="AG63" s="260" t="e">
        <f>+Zał.1_WPF_bazowy!#REF!</f>
        <v>#REF!</v>
      </c>
      <c r="AH63" s="260" t="e">
        <f>+Zał.1_WPF_bazowy!#REF!</f>
        <v>#REF!</v>
      </c>
      <c r="AI63" s="260" t="e">
        <f>+Zał.1_WPF_bazowy!#REF!</f>
        <v>#REF!</v>
      </c>
      <c r="AJ63" s="260" t="e">
        <f>+Zał.1_WPF_bazowy!#REF!</f>
        <v>#REF!</v>
      </c>
      <c r="AK63" s="260" t="e">
        <f>+Zał.1_WPF_bazowy!#REF!</f>
        <v>#REF!</v>
      </c>
      <c r="AL63" s="261" t="e">
        <f>+Zał.1_WPF_bazowy!#REF!</f>
        <v>#REF!</v>
      </c>
    </row>
    <row r="64" spans="1:253" s="90" customFormat="1" outlineLevel="2">
      <c r="A64" s="309"/>
      <c r="B64" s="32" t="s">
        <v>157</v>
      </c>
      <c r="C64" s="99"/>
      <c r="D64" s="294" t="s">
        <v>191</v>
      </c>
      <c r="E64" s="197">
        <f>Zał.1_WPF_bazowy!E64</f>
        <v>0</v>
      </c>
      <c r="F64" s="198">
        <f>Zał.1_WPF_bazowy!F64</f>
        <v>0</v>
      </c>
      <c r="G64" s="198">
        <f>Zał.1_WPF_bazowy!G64</f>
        <v>0</v>
      </c>
      <c r="H64" s="251">
        <f>Zał.1_WPF_bazowy!H64</f>
        <v>0</v>
      </c>
      <c r="I64" s="252">
        <f>+Zał.1_WPF_bazowy!I64</f>
        <v>29625.19</v>
      </c>
      <c r="J64" s="253">
        <f>+Zał.1_WPF_bazowy!J64</f>
        <v>0</v>
      </c>
      <c r="K64" s="253">
        <f>+Zał.1_WPF_bazowy!K64</f>
        <v>0</v>
      </c>
      <c r="L64" s="253">
        <f>+Zał.1_WPF_bazowy!L64</f>
        <v>0</v>
      </c>
      <c r="M64" s="253" t="e">
        <f>+Zał.1_WPF_bazowy!#REF!</f>
        <v>#REF!</v>
      </c>
      <c r="N64" s="253" t="e">
        <f>+Zał.1_WPF_bazowy!#REF!</f>
        <v>#REF!</v>
      </c>
      <c r="O64" s="253" t="e">
        <f>+Zał.1_WPF_bazowy!#REF!</f>
        <v>#REF!</v>
      </c>
      <c r="P64" s="253" t="e">
        <f>+Zał.1_WPF_bazowy!#REF!</f>
        <v>#REF!</v>
      </c>
      <c r="Q64" s="253" t="e">
        <f>+Zał.1_WPF_bazowy!#REF!</f>
        <v>#REF!</v>
      </c>
      <c r="R64" s="253" t="e">
        <f>+Zał.1_WPF_bazowy!#REF!</f>
        <v>#REF!</v>
      </c>
      <c r="S64" s="253" t="e">
        <f>+Zał.1_WPF_bazowy!#REF!</f>
        <v>#REF!</v>
      </c>
      <c r="T64" s="253" t="e">
        <f>+Zał.1_WPF_bazowy!#REF!</f>
        <v>#REF!</v>
      </c>
      <c r="U64" s="253" t="e">
        <f>+Zał.1_WPF_bazowy!#REF!</f>
        <v>#REF!</v>
      </c>
      <c r="V64" s="253" t="e">
        <f>+Zał.1_WPF_bazowy!#REF!</f>
        <v>#REF!</v>
      </c>
      <c r="W64" s="253" t="e">
        <f>+Zał.1_WPF_bazowy!#REF!</f>
        <v>#REF!</v>
      </c>
      <c r="X64" s="253" t="e">
        <f>+Zał.1_WPF_bazowy!#REF!</f>
        <v>#REF!</v>
      </c>
      <c r="Y64" s="253" t="e">
        <f>+Zał.1_WPF_bazowy!#REF!</f>
        <v>#REF!</v>
      </c>
      <c r="Z64" s="253" t="e">
        <f>+Zał.1_WPF_bazowy!#REF!</f>
        <v>#REF!</v>
      </c>
      <c r="AA64" s="253" t="e">
        <f>+Zał.1_WPF_bazowy!#REF!</f>
        <v>#REF!</v>
      </c>
      <c r="AB64" s="253" t="e">
        <f>+Zał.1_WPF_bazowy!#REF!</f>
        <v>#REF!</v>
      </c>
      <c r="AC64" s="253" t="e">
        <f>+Zał.1_WPF_bazowy!#REF!</f>
        <v>#REF!</v>
      </c>
      <c r="AD64" s="253" t="e">
        <f>+Zał.1_WPF_bazowy!#REF!</f>
        <v>#REF!</v>
      </c>
      <c r="AE64" s="253" t="e">
        <f>+Zał.1_WPF_bazowy!#REF!</f>
        <v>#REF!</v>
      </c>
      <c r="AF64" s="253" t="e">
        <f>+Zał.1_WPF_bazowy!#REF!</f>
        <v>#REF!</v>
      </c>
      <c r="AG64" s="253" t="e">
        <f>+Zał.1_WPF_bazowy!#REF!</f>
        <v>#REF!</v>
      </c>
      <c r="AH64" s="253" t="e">
        <f>+Zał.1_WPF_bazowy!#REF!</f>
        <v>#REF!</v>
      </c>
      <c r="AI64" s="253" t="e">
        <f>+Zał.1_WPF_bazowy!#REF!</f>
        <v>#REF!</v>
      </c>
      <c r="AJ64" s="253" t="e">
        <f>+Zał.1_WPF_bazowy!#REF!</f>
        <v>#REF!</v>
      </c>
      <c r="AK64" s="253" t="e">
        <f>+Zał.1_WPF_bazowy!#REF!</f>
        <v>#REF!</v>
      </c>
      <c r="AL64" s="254" t="e">
        <f>+Zał.1_WPF_bazowy!#REF!</f>
        <v>#REF!</v>
      </c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253" s="102" customFormat="1" ht="15" outlineLevel="1">
      <c r="A65" s="309"/>
      <c r="B65" s="31">
        <v>11</v>
      </c>
      <c r="C65" s="366"/>
      <c r="D65" s="293" t="s">
        <v>87</v>
      </c>
      <c r="E65" s="201" t="s">
        <v>28</v>
      </c>
      <c r="F65" s="202" t="s">
        <v>28</v>
      </c>
      <c r="G65" s="202" t="s">
        <v>28</v>
      </c>
      <c r="H65" s="262" t="s">
        <v>28</v>
      </c>
      <c r="I65" s="263" t="s">
        <v>28</v>
      </c>
      <c r="J65" s="264" t="s">
        <v>28</v>
      </c>
      <c r="K65" s="264" t="s">
        <v>28</v>
      </c>
      <c r="L65" s="264" t="s">
        <v>28</v>
      </c>
      <c r="M65" s="264" t="s">
        <v>28</v>
      </c>
      <c r="N65" s="264" t="s">
        <v>28</v>
      </c>
      <c r="O65" s="264" t="s">
        <v>28</v>
      </c>
      <c r="P65" s="264" t="s">
        <v>28</v>
      </c>
      <c r="Q65" s="264" t="s">
        <v>28</v>
      </c>
      <c r="R65" s="264" t="s">
        <v>28</v>
      </c>
      <c r="S65" s="264" t="s">
        <v>28</v>
      </c>
      <c r="T65" s="264" t="s">
        <v>28</v>
      </c>
      <c r="U65" s="264" t="s">
        <v>28</v>
      </c>
      <c r="V65" s="264" t="s">
        <v>28</v>
      </c>
      <c r="W65" s="264" t="s">
        <v>28</v>
      </c>
      <c r="X65" s="264" t="s">
        <v>28</v>
      </c>
      <c r="Y65" s="264" t="s">
        <v>28</v>
      </c>
      <c r="Z65" s="264" t="s">
        <v>28</v>
      </c>
      <c r="AA65" s="264" t="s">
        <v>28</v>
      </c>
      <c r="AB65" s="264" t="s">
        <v>28</v>
      </c>
      <c r="AC65" s="264" t="s">
        <v>28</v>
      </c>
      <c r="AD65" s="264" t="s">
        <v>28</v>
      </c>
      <c r="AE65" s="264" t="s">
        <v>28</v>
      </c>
      <c r="AF65" s="264" t="s">
        <v>28</v>
      </c>
      <c r="AG65" s="264" t="s">
        <v>28</v>
      </c>
      <c r="AH65" s="264" t="s">
        <v>28</v>
      </c>
      <c r="AI65" s="264" t="s">
        <v>28</v>
      </c>
      <c r="AJ65" s="264" t="s">
        <v>28</v>
      </c>
      <c r="AK65" s="264" t="s">
        <v>28</v>
      </c>
      <c r="AL65" s="265" t="s">
        <v>28</v>
      </c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</row>
    <row r="66" spans="1:253" outlineLevel="2">
      <c r="A66" s="309"/>
      <c r="B66" s="32" t="s">
        <v>158</v>
      </c>
      <c r="C66" s="99"/>
      <c r="D66" s="294" t="s">
        <v>192</v>
      </c>
      <c r="E66" s="197">
        <f>Zał.1_WPF_bazowy!E66</f>
        <v>4441226.62</v>
      </c>
      <c r="F66" s="198">
        <f>Zał.1_WPF_bazowy!F66</f>
        <v>4171528.09</v>
      </c>
      <c r="G66" s="198">
        <f>Zał.1_WPF_bazowy!G66</f>
        <v>4406547.84</v>
      </c>
      <c r="H66" s="251">
        <f>Zał.1_WPF_bazowy!H66</f>
        <v>4149289.86</v>
      </c>
      <c r="I66" s="252">
        <f>+Zał.1_WPF_bazowy!I66</f>
        <v>4226255</v>
      </c>
      <c r="J66" s="253">
        <f>+Zał.1_WPF_bazowy!J66</f>
        <v>4271290</v>
      </c>
      <c r="K66" s="253">
        <f>+Zał.1_WPF_bazowy!K66</f>
        <v>4378000</v>
      </c>
      <c r="L66" s="253">
        <f>+Zał.1_WPF_bazowy!L66</f>
        <v>4487450</v>
      </c>
      <c r="M66" s="253" t="e">
        <f>+Zał.1_WPF_bazowy!#REF!</f>
        <v>#REF!</v>
      </c>
      <c r="N66" s="253" t="e">
        <f>+Zał.1_WPF_bazowy!#REF!</f>
        <v>#REF!</v>
      </c>
      <c r="O66" s="253" t="e">
        <f>+Zał.1_WPF_bazowy!#REF!</f>
        <v>#REF!</v>
      </c>
      <c r="P66" s="253" t="e">
        <f>+Zał.1_WPF_bazowy!#REF!</f>
        <v>#REF!</v>
      </c>
      <c r="Q66" s="253" t="e">
        <f>+Zał.1_WPF_bazowy!#REF!</f>
        <v>#REF!</v>
      </c>
      <c r="R66" s="253" t="e">
        <f>+Zał.1_WPF_bazowy!#REF!</f>
        <v>#REF!</v>
      </c>
      <c r="S66" s="253" t="e">
        <f>+Zał.1_WPF_bazowy!#REF!</f>
        <v>#REF!</v>
      </c>
      <c r="T66" s="253" t="e">
        <f>+Zał.1_WPF_bazowy!#REF!</f>
        <v>#REF!</v>
      </c>
      <c r="U66" s="253" t="e">
        <f>+Zał.1_WPF_bazowy!#REF!</f>
        <v>#REF!</v>
      </c>
      <c r="V66" s="253" t="e">
        <f>+Zał.1_WPF_bazowy!#REF!</f>
        <v>#REF!</v>
      </c>
      <c r="W66" s="253" t="e">
        <f>+Zał.1_WPF_bazowy!#REF!</f>
        <v>#REF!</v>
      </c>
      <c r="X66" s="253" t="e">
        <f>+Zał.1_WPF_bazowy!#REF!</f>
        <v>#REF!</v>
      </c>
      <c r="Y66" s="253" t="e">
        <f>+Zał.1_WPF_bazowy!#REF!</f>
        <v>#REF!</v>
      </c>
      <c r="Z66" s="253" t="e">
        <f>+Zał.1_WPF_bazowy!#REF!</f>
        <v>#REF!</v>
      </c>
      <c r="AA66" s="253" t="e">
        <f>+Zał.1_WPF_bazowy!#REF!</f>
        <v>#REF!</v>
      </c>
      <c r="AB66" s="253" t="e">
        <f>+Zał.1_WPF_bazowy!#REF!</f>
        <v>#REF!</v>
      </c>
      <c r="AC66" s="253" t="e">
        <f>+Zał.1_WPF_bazowy!#REF!</f>
        <v>#REF!</v>
      </c>
      <c r="AD66" s="253" t="e">
        <f>+Zał.1_WPF_bazowy!#REF!</f>
        <v>#REF!</v>
      </c>
      <c r="AE66" s="253" t="e">
        <f>+Zał.1_WPF_bazowy!#REF!</f>
        <v>#REF!</v>
      </c>
      <c r="AF66" s="253" t="e">
        <f>+Zał.1_WPF_bazowy!#REF!</f>
        <v>#REF!</v>
      </c>
      <c r="AG66" s="253" t="e">
        <f>+Zał.1_WPF_bazowy!#REF!</f>
        <v>#REF!</v>
      </c>
      <c r="AH66" s="253" t="e">
        <f>+Zał.1_WPF_bazowy!#REF!</f>
        <v>#REF!</v>
      </c>
      <c r="AI66" s="253" t="e">
        <f>+Zał.1_WPF_bazowy!#REF!</f>
        <v>#REF!</v>
      </c>
      <c r="AJ66" s="253" t="e">
        <f>+Zał.1_WPF_bazowy!#REF!</f>
        <v>#REF!</v>
      </c>
      <c r="AK66" s="253" t="e">
        <f>+Zał.1_WPF_bazowy!#REF!</f>
        <v>#REF!</v>
      </c>
      <c r="AL66" s="254" t="e">
        <f>+Zał.1_WPF_bazowy!#REF!</f>
        <v>#REF!</v>
      </c>
    </row>
    <row r="67" spans="1:253" outlineLevel="2">
      <c r="A67" s="309"/>
      <c r="B67" s="32" t="s">
        <v>159</v>
      </c>
      <c r="C67" s="99"/>
      <c r="D67" s="294" t="s">
        <v>193</v>
      </c>
      <c r="E67" s="197">
        <f>Zał.1_WPF_bazowy!E67</f>
        <v>1397090.95</v>
      </c>
      <c r="F67" s="198">
        <f>Zał.1_WPF_bazowy!F67</f>
        <v>1438877.18</v>
      </c>
      <c r="G67" s="198">
        <f>Zał.1_WPF_bazowy!G67</f>
        <v>1491519</v>
      </c>
      <c r="H67" s="251">
        <f>Zał.1_WPF_bazowy!H67</f>
        <v>1343112.1</v>
      </c>
      <c r="I67" s="252">
        <f>+Zał.1_WPF_bazowy!I67</f>
        <v>1555803</v>
      </c>
      <c r="J67" s="253">
        <f>+Zał.1_WPF_bazowy!J67</f>
        <v>1509400</v>
      </c>
      <c r="K67" s="253">
        <f>+Zał.1_WPF_bazowy!K67</f>
        <v>1547135</v>
      </c>
      <c r="L67" s="253">
        <f>+Zał.1_WPF_bazowy!L67</f>
        <v>1585800</v>
      </c>
      <c r="M67" s="253" t="e">
        <f>+Zał.1_WPF_bazowy!#REF!</f>
        <v>#REF!</v>
      </c>
      <c r="N67" s="253" t="e">
        <f>+Zał.1_WPF_bazowy!#REF!</f>
        <v>#REF!</v>
      </c>
      <c r="O67" s="253" t="e">
        <f>+Zał.1_WPF_bazowy!#REF!</f>
        <v>#REF!</v>
      </c>
      <c r="P67" s="253" t="e">
        <f>+Zał.1_WPF_bazowy!#REF!</f>
        <v>#REF!</v>
      </c>
      <c r="Q67" s="253" t="e">
        <f>+Zał.1_WPF_bazowy!#REF!</f>
        <v>#REF!</v>
      </c>
      <c r="R67" s="253" t="e">
        <f>+Zał.1_WPF_bazowy!#REF!</f>
        <v>#REF!</v>
      </c>
      <c r="S67" s="253" t="e">
        <f>+Zał.1_WPF_bazowy!#REF!</f>
        <v>#REF!</v>
      </c>
      <c r="T67" s="253" t="e">
        <f>+Zał.1_WPF_bazowy!#REF!</f>
        <v>#REF!</v>
      </c>
      <c r="U67" s="253" t="e">
        <f>+Zał.1_WPF_bazowy!#REF!</f>
        <v>#REF!</v>
      </c>
      <c r="V67" s="253" t="e">
        <f>+Zał.1_WPF_bazowy!#REF!</f>
        <v>#REF!</v>
      </c>
      <c r="W67" s="253" t="e">
        <f>+Zał.1_WPF_bazowy!#REF!</f>
        <v>#REF!</v>
      </c>
      <c r="X67" s="253" t="e">
        <f>+Zał.1_WPF_bazowy!#REF!</f>
        <v>#REF!</v>
      </c>
      <c r="Y67" s="253" t="e">
        <f>+Zał.1_WPF_bazowy!#REF!</f>
        <v>#REF!</v>
      </c>
      <c r="Z67" s="253" t="e">
        <f>+Zał.1_WPF_bazowy!#REF!</f>
        <v>#REF!</v>
      </c>
      <c r="AA67" s="253" t="e">
        <f>+Zał.1_WPF_bazowy!#REF!</f>
        <v>#REF!</v>
      </c>
      <c r="AB67" s="253" t="e">
        <f>+Zał.1_WPF_bazowy!#REF!</f>
        <v>#REF!</v>
      </c>
      <c r="AC67" s="253" t="e">
        <f>+Zał.1_WPF_bazowy!#REF!</f>
        <v>#REF!</v>
      </c>
      <c r="AD67" s="253" t="e">
        <f>+Zał.1_WPF_bazowy!#REF!</f>
        <v>#REF!</v>
      </c>
      <c r="AE67" s="253" t="e">
        <f>+Zał.1_WPF_bazowy!#REF!</f>
        <v>#REF!</v>
      </c>
      <c r="AF67" s="253" t="e">
        <f>+Zał.1_WPF_bazowy!#REF!</f>
        <v>#REF!</v>
      </c>
      <c r="AG67" s="253" t="e">
        <f>+Zał.1_WPF_bazowy!#REF!</f>
        <v>#REF!</v>
      </c>
      <c r="AH67" s="253" t="e">
        <f>+Zał.1_WPF_bazowy!#REF!</f>
        <v>#REF!</v>
      </c>
      <c r="AI67" s="253" t="e">
        <f>+Zał.1_WPF_bazowy!#REF!</f>
        <v>#REF!</v>
      </c>
      <c r="AJ67" s="253" t="e">
        <f>+Zał.1_WPF_bazowy!#REF!</f>
        <v>#REF!</v>
      </c>
      <c r="AK67" s="253" t="e">
        <f>+Zał.1_WPF_bazowy!#REF!</f>
        <v>#REF!</v>
      </c>
      <c r="AL67" s="254" t="e">
        <f>+Zał.1_WPF_bazowy!#REF!</f>
        <v>#REF!</v>
      </c>
    </row>
    <row r="68" spans="1:253" outlineLevel="2">
      <c r="A68" s="309"/>
      <c r="B68" s="32" t="s">
        <v>160</v>
      </c>
      <c r="C68" s="99" t="s">
        <v>401</v>
      </c>
      <c r="D68" s="294" t="s">
        <v>476</v>
      </c>
      <c r="E68" s="197">
        <f>Zał.1_WPF_bazowy!E68</f>
        <v>1480853.69</v>
      </c>
      <c r="F68" s="198">
        <f>Zał.1_WPF_bazowy!F68</f>
        <v>718974.51</v>
      </c>
      <c r="G68" s="198">
        <f>Zał.1_WPF_bazowy!G68</f>
        <v>3546636.65</v>
      </c>
      <c r="H68" s="120">
        <f>+H69+H70</f>
        <v>3319528.5999999996</v>
      </c>
      <c r="I68" s="118">
        <f>+I69+I70</f>
        <v>291732.67000000004</v>
      </c>
      <c r="J68" s="119">
        <f t="shared" ref="J68:AL68" si="18">+J69+J70</f>
        <v>784700</v>
      </c>
      <c r="K68" s="119">
        <f t="shared" si="18"/>
        <v>0</v>
      </c>
      <c r="L68" s="119">
        <f t="shared" si="18"/>
        <v>0</v>
      </c>
      <c r="M68" s="119" t="e">
        <f t="shared" si="18"/>
        <v>#REF!</v>
      </c>
      <c r="N68" s="119" t="e">
        <f t="shared" si="18"/>
        <v>#REF!</v>
      </c>
      <c r="O68" s="119" t="e">
        <f t="shared" si="18"/>
        <v>#REF!</v>
      </c>
      <c r="P68" s="119" t="e">
        <f t="shared" si="18"/>
        <v>#REF!</v>
      </c>
      <c r="Q68" s="119" t="e">
        <f t="shared" si="18"/>
        <v>#REF!</v>
      </c>
      <c r="R68" s="119" t="e">
        <f t="shared" si="18"/>
        <v>#REF!</v>
      </c>
      <c r="S68" s="119" t="e">
        <f t="shared" si="18"/>
        <v>#REF!</v>
      </c>
      <c r="T68" s="119" t="e">
        <f t="shared" si="18"/>
        <v>#REF!</v>
      </c>
      <c r="U68" s="119" t="e">
        <f t="shared" si="18"/>
        <v>#REF!</v>
      </c>
      <c r="V68" s="119" t="e">
        <f t="shared" si="18"/>
        <v>#REF!</v>
      </c>
      <c r="W68" s="119" t="e">
        <f t="shared" si="18"/>
        <v>#REF!</v>
      </c>
      <c r="X68" s="119" t="e">
        <f t="shared" si="18"/>
        <v>#REF!</v>
      </c>
      <c r="Y68" s="119" t="e">
        <f t="shared" si="18"/>
        <v>#REF!</v>
      </c>
      <c r="Z68" s="119" t="e">
        <f t="shared" si="18"/>
        <v>#REF!</v>
      </c>
      <c r="AA68" s="119" t="e">
        <f t="shared" si="18"/>
        <v>#REF!</v>
      </c>
      <c r="AB68" s="119" t="e">
        <f t="shared" si="18"/>
        <v>#REF!</v>
      </c>
      <c r="AC68" s="119" t="e">
        <f t="shared" si="18"/>
        <v>#REF!</v>
      </c>
      <c r="AD68" s="119" t="e">
        <f t="shared" si="18"/>
        <v>#REF!</v>
      </c>
      <c r="AE68" s="119" t="e">
        <f t="shared" si="18"/>
        <v>#REF!</v>
      </c>
      <c r="AF68" s="119" t="e">
        <f t="shared" si="18"/>
        <v>#REF!</v>
      </c>
      <c r="AG68" s="119" t="e">
        <f t="shared" si="18"/>
        <v>#REF!</v>
      </c>
      <c r="AH68" s="119" t="e">
        <f t="shared" si="18"/>
        <v>#REF!</v>
      </c>
      <c r="AI68" s="119" t="e">
        <f t="shared" si="18"/>
        <v>#REF!</v>
      </c>
      <c r="AJ68" s="119" t="e">
        <f t="shared" si="18"/>
        <v>#REF!</v>
      </c>
      <c r="AK68" s="119" t="e">
        <f t="shared" si="18"/>
        <v>#REF!</v>
      </c>
      <c r="AL68" s="120" t="e">
        <f t="shared" si="18"/>
        <v>#REF!</v>
      </c>
    </row>
    <row r="69" spans="1:253" outlineLevel="2">
      <c r="A69" s="309"/>
      <c r="B69" s="32" t="s">
        <v>90</v>
      </c>
      <c r="C69" s="99"/>
      <c r="D69" s="295" t="s">
        <v>194</v>
      </c>
      <c r="E69" s="197">
        <f>Zał.1_WPF_bazowy!E69</f>
        <v>123162.52</v>
      </c>
      <c r="F69" s="198">
        <f>Zał.1_WPF_bazowy!F69</f>
        <v>156869.10999999999</v>
      </c>
      <c r="G69" s="198">
        <f>Zał.1_WPF_bazowy!G69</f>
        <v>145119.65</v>
      </c>
      <c r="H69" s="251">
        <f>Zał.1_WPF_bazowy!H69</f>
        <v>138833.24</v>
      </c>
      <c r="I69" s="252">
        <f>+Zał.1_WPF_bazowy!I69</f>
        <v>261432.67</v>
      </c>
      <c r="J69" s="253">
        <f>+Zał.1_WPF_bazowy!J69</f>
        <v>0</v>
      </c>
      <c r="K69" s="253">
        <f>+Zał.1_WPF_bazowy!K69</f>
        <v>0</v>
      </c>
      <c r="L69" s="253">
        <f>+Zał.1_WPF_bazowy!L69</f>
        <v>0</v>
      </c>
      <c r="M69" s="253" t="e">
        <f>+Zał.1_WPF_bazowy!#REF!</f>
        <v>#REF!</v>
      </c>
      <c r="N69" s="253" t="e">
        <f>+Zał.1_WPF_bazowy!#REF!</f>
        <v>#REF!</v>
      </c>
      <c r="O69" s="253" t="e">
        <f>+Zał.1_WPF_bazowy!#REF!</f>
        <v>#REF!</v>
      </c>
      <c r="P69" s="253" t="e">
        <f>+Zał.1_WPF_bazowy!#REF!</f>
        <v>#REF!</v>
      </c>
      <c r="Q69" s="253" t="e">
        <f>+Zał.1_WPF_bazowy!#REF!</f>
        <v>#REF!</v>
      </c>
      <c r="R69" s="253" t="e">
        <f>+Zał.1_WPF_bazowy!#REF!</f>
        <v>#REF!</v>
      </c>
      <c r="S69" s="253" t="e">
        <f>+Zał.1_WPF_bazowy!#REF!</f>
        <v>#REF!</v>
      </c>
      <c r="T69" s="253" t="e">
        <f>+Zał.1_WPF_bazowy!#REF!</f>
        <v>#REF!</v>
      </c>
      <c r="U69" s="253" t="e">
        <f>+Zał.1_WPF_bazowy!#REF!</f>
        <v>#REF!</v>
      </c>
      <c r="V69" s="253" t="e">
        <f>+Zał.1_WPF_bazowy!#REF!</f>
        <v>#REF!</v>
      </c>
      <c r="W69" s="253" t="e">
        <f>+Zał.1_WPF_bazowy!#REF!</f>
        <v>#REF!</v>
      </c>
      <c r="X69" s="253" t="e">
        <f>+Zał.1_WPF_bazowy!#REF!</f>
        <v>#REF!</v>
      </c>
      <c r="Y69" s="253" t="e">
        <f>+Zał.1_WPF_bazowy!#REF!</f>
        <v>#REF!</v>
      </c>
      <c r="Z69" s="253" t="e">
        <f>+Zał.1_WPF_bazowy!#REF!</f>
        <v>#REF!</v>
      </c>
      <c r="AA69" s="253" t="e">
        <f>+Zał.1_WPF_bazowy!#REF!</f>
        <v>#REF!</v>
      </c>
      <c r="AB69" s="253" t="e">
        <f>+Zał.1_WPF_bazowy!#REF!</f>
        <v>#REF!</v>
      </c>
      <c r="AC69" s="253" t="e">
        <f>+Zał.1_WPF_bazowy!#REF!</f>
        <v>#REF!</v>
      </c>
      <c r="AD69" s="253" t="e">
        <f>+Zał.1_WPF_bazowy!#REF!</f>
        <v>#REF!</v>
      </c>
      <c r="AE69" s="253" t="e">
        <f>+Zał.1_WPF_bazowy!#REF!</f>
        <v>#REF!</v>
      </c>
      <c r="AF69" s="253" t="e">
        <f>+Zał.1_WPF_bazowy!#REF!</f>
        <v>#REF!</v>
      </c>
      <c r="AG69" s="253" t="e">
        <f>+Zał.1_WPF_bazowy!#REF!</f>
        <v>#REF!</v>
      </c>
      <c r="AH69" s="253" t="e">
        <f>+Zał.1_WPF_bazowy!#REF!</f>
        <v>#REF!</v>
      </c>
      <c r="AI69" s="253" t="e">
        <f>+Zał.1_WPF_bazowy!#REF!</f>
        <v>#REF!</v>
      </c>
      <c r="AJ69" s="253" t="e">
        <f>+Zał.1_WPF_bazowy!#REF!</f>
        <v>#REF!</v>
      </c>
      <c r="AK69" s="253" t="e">
        <f>+Zał.1_WPF_bazowy!#REF!</f>
        <v>#REF!</v>
      </c>
      <c r="AL69" s="254" t="e">
        <f>+Zał.1_WPF_bazowy!#REF!</f>
        <v>#REF!</v>
      </c>
    </row>
    <row r="70" spans="1:253" outlineLevel="2">
      <c r="A70" s="309"/>
      <c r="B70" s="32" t="s">
        <v>92</v>
      </c>
      <c r="C70" s="99"/>
      <c r="D70" s="295" t="s">
        <v>195</v>
      </c>
      <c r="E70" s="197">
        <f>Zał.1_WPF_bazowy!E70</f>
        <v>1357691.17</v>
      </c>
      <c r="F70" s="198">
        <f>Zał.1_WPF_bazowy!F70</f>
        <v>562105.4</v>
      </c>
      <c r="G70" s="198">
        <f>Zał.1_WPF_bazowy!G70</f>
        <v>3401517</v>
      </c>
      <c r="H70" s="251">
        <f>Zał.1_WPF_bazowy!H70</f>
        <v>3180695.36</v>
      </c>
      <c r="I70" s="252">
        <f>+Zał.1_WPF_bazowy!I70</f>
        <v>30300</v>
      </c>
      <c r="J70" s="253">
        <f>+Zał.1_WPF_bazowy!J70</f>
        <v>784700</v>
      </c>
      <c r="K70" s="253">
        <f>+Zał.1_WPF_bazowy!K70</f>
        <v>0</v>
      </c>
      <c r="L70" s="253">
        <f>+Zał.1_WPF_bazowy!L70</f>
        <v>0</v>
      </c>
      <c r="M70" s="253" t="e">
        <f>+Zał.1_WPF_bazowy!#REF!</f>
        <v>#REF!</v>
      </c>
      <c r="N70" s="253" t="e">
        <f>+Zał.1_WPF_bazowy!#REF!</f>
        <v>#REF!</v>
      </c>
      <c r="O70" s="253" t="e">
        <f>+Zał.1_WPF_bazowy!#REF!</f>
        <v>#REF!</v>
      </c>
      <c r="P70" s="253" t="e">
        <f>+Zał.1_WPF_bazowy!#REF!</f>
        <v>#REF!</v>
      </c>
      <c r="Q70" s="253" t="e">
        <f>+Zał.1_WPF_bazowy!#REF!</f>
        <v>#REF!</v>
      </c>
      <c r="R70" s="253" t="e">
        <f>+Zał.1_WPF_bazowy!#REF!</f>
        <v>#REF!</v>
      </c>
      <c r="S70" s="253" t="e">
        <f>+Zał.1_WPF_bazowy!#REF!</f>
        <v>#REF!</v>
      </c>
      <c r="T70" s="253" t="e">
        <f>+Zał.1_WPF_bazowy!#REF!</f>
        <v>#REF!</v>
      </c>
      <c r="U70" s="253" t="e">
        <f>+Zał.1_WPF_bazowy!#REF!</f>
        <v>#REF!</v>
      </c>
      <c r="V70" s="253" t="e">
        <f>+Zał.1_WPF_bazowy!#REF!</f>
        <v>#REF!</v>
      </c>
      <c r="W70" s="253" t="e">
        <f>+Zał.1_WPF_bazowy!#REF!</f>
        <v>#REF!</v>
      </c>
      <c r="X70" s="253" t="e">
        <f>+Zał.1_WPF_bazowy!#REF!</f>
        <v>#REF!</v>
      </c>
      <c r="Y70" s="253" t="e">
        <f>+Zał.1_WPF_bazowy!#REF!</f>
        <v>#REF!</v>
      </c>
      <c r="Z70" s="253" t="e">
        <f>+Zał.1_WPF_bazowy!#REF!</f>
        <v>#REF!</v>
      </c>
      <c r="AA70" s="253" t="e">
        <f>+Zał.1_WPF_bazowy!#REF!</f>
        <v>#REF!</v>
      </c>
      <c r="AB70" s="253" t="e">
        <f>+Zał.1_WPF_bazowy!#REF!</f>
        <v>#REF!</v>
      </c>
      <c r="AC70" s="253" t="e">
        <f>+Zał.1_WPF_bazowy!#REF!</f>
        <v>#REF!</v>
      </c>
      <c r="AD70" s="253" t="e">
        <f>+Zał.1_WPF_bazowy!#REF!</f>
        <v>#REF!</v>
      </c>
      <c r="AE70" s="253" t="e">
        <f>+Zał.1_WPF_bazowy!#REF!</f>
        <v>#REF!</v>
      </c>
      <c r="AF70" s="253" t="e">
        <f>+Zał.1_WPF_bazowy!#REF!</f>
        <v>#REF!</v>
      </c>
      <c r="AG70" s="253" t="e">
        <f>+Zał.1_WPF_bazowy!#REF!</f>
        <v>#REF!</v>
      </c>
      <c r="AH70" s="253" t="e">
        <f>+Zał.1_WPF_bazowy!#REF!</f>
        <v>#REF!</v>
      </c>
      <c r="AI70" s="253" t="e">
        <f>+Zał.1_WPF_bazowy!#REF!</f>
        <v>#REF!</v>
      </c>
      <c r="AJ70" s="253" t="e">
        <f>+Zał.1_WPF_bazowy!#REF!</f>
        <v>#REF!</v>
      </c>
      <c r="AK70" s="253" t="e">
        <f>+Zał.1_WPF_bazowy!#REF!</f>
        <v>#REF!</v>
      </c>
      <c r="AL70" s="254" t="e">
        <f>+Zał.1_WPF_bazowy!#REF!</f>
        <v>#REF!</v>
      </c>
    </row>
    <row r="71" spans="1:253" outlineLevel="2">
      <c r="A71" s="309"/>
      <c r="B71" s="32" t="s">
        <v>161</v>
      </c>
      <c r="C71" s="99"/>
      <c r="D71" s="294" t="s">
        <v>196</v>
      </c>
      <c r="E71" s="197">
        <f>Zał.1_WPF_bazowy!E71</f>
        <v>1173514.32</v>
      </c>
      <c r="F71" s="198">
        <f>Zał.1_WPF_bazowy!F71</f>
        <v>835040.96</v>
      </c>
      <c r="G71" s="198">
        <f>Zał.1_WPF_bazowy!G71</f>
        <v>3401517</v>
      </c>
      <c r="H71" s="251">
        <f>Zał.1_WPF_bazowy!H71</f>
        <v>3180695.36</v>
      </c>
      <c r="I71" s="252">
        <f>+Zał.1_WPF_bazowy!I71</f>
        <v>0</v>
      </c>
      <c r="J71" s="253">
        <f>+Zał.1_WPF_bazowy!J71</f>
        <v>784700</v>
      </c>
      <c r="K71" s="253">
        <f>+Zał.1_WPF_bazowy!K71</f>
        <v>0</v>
      </c>
      <c r="L71" s="253">
        <f>+Zał.1_WPF_bazowy!L71</f>
        <v>0</v>
      </c>
      <c r="M71" s="253" t="e">
        <f>+Zał.1_WPF_bazowy!#REF!</f>
        <v>#REF!</v>
      </c>
      <c r="N71" s="253" t="e">
        <f>+Zał.1_WPF_bazowy!#REF!</f>
        <v>#REF!</v>
      </c>
      <c r="O71" s="253" t="e">
        <f>+Zał.1_WPF_bazowy!#REF!</f>
        <v>#REF!</v>
      </c>
      <c r="P71" s="253" t="e">
        <f>+Zał.1_WPF_bazowy!#REF!</f>
        <v>#REF!</v>
      </c>
      <c r="Q71" s="253" t="e">
        <f>+Zał.1_WPF_bazowy!#REF!</f>
        <v>#REF!</v>
      </c>
      <c r="R71" s="253" t="e">
        <f>+Zał.1_WPF_bazowy!#REF!</f>
        <v>#REF!</v>
      </c>
      <c r="S71" s="253" t="e">
        <f>+Zał.1_WPF_bazowy!#REF!</f>
        <v>#REF!</v>
      </c>
      <c r="T71" s="253" t="e">
        <f>+Zał.1_WPF_bazowy!#REF!</f>
        <v>#REF!</v>
      </c>
      <c r="U71" s="253" t="e">
        <f>+Zał.1_WPF_bazowy!#REF!</f>
        <v>#REF!</v>
      </c>
      <c r="V71" s="253" t="e">
        <f>+Zał.1_WPF_bazowy!#REF!</f>
        <v>#REF!</v>
      </c>
      <c r="W71" s="253" t="e">
        <f>+Zał.1_WPF_bazowy!#REF!</f>
        <v>#REF!</v>
      </c>
      <c r="X71" s="253" t="e">
        <f>+Zał.1_WPF_bazowy!#REF!</f>
        <v>#REF!</v>
      </c>
      <c r="Y71" s="253" t="e">
        <f>+Zał.1_WPF_bazowy!#REF!</f>
        <v>#REF!</v>
      </c>
      <c r="Z71" s="253" t="e">
        <f>+Zał.1_WPF_bazowy!#REF!</f>
        <v>#REF!</v>
      </c>
      <c r="AA71" s="253" t="e">
        <f>+Zał.1_WPF_bazowy!#REF!</f>
        <v>#REF!</v>
      </c>
      <c r="AB71" s="253" t="e">
        <f>+Zał.1_WPF_bazowy!#REF!</f>
        <v>#REF!</v>
      </c>
      <c r="AC71" s="253" t="e">
        <f>+Zał.1_WPF_bazowy!#REF!</f>
        <v>#REF!</v>
      </c>
      <c r="AD71" s="253" t="e">
        <f>+Zał.1_WPF_bazowy!#REF!</f>
        <v>#REF!</v>
      </c>
      <c r="AE71" s="253" t="e">
        <f>+Zał.1_WPF_bazowy!#REF!</f>
        <v>#REF!</v>
      </c>
      <c r="AF71" s="253" t="e">
        <f>+Zał.1_WPF_bazowy!#REF!</f>
        <v>#REF!</v>
      </c>
      <c r="AG71" s="253" t="e">
        <f>+Zał.1_WPF_bazowy!#REF!</f>
        <v>#REF!</v>
      </c>
      <c r="AH71" s="253" t="e">
        <f>+Zał.1_WPF_bazowy!#REF!</f>
        <v>#REF!</v>
      </c>
      <c r="AI71" s="253" t="e">
        <f>+Zał.1_WPF_bazowy!#REF!</f>
        <v>#REF!</v>
      </c>
      <c r="AJ71" s="253" t="e">
        <f>+Zał.1_WPF_bazowy!#REF!</f>
        <v>#REF!</v>
      </c>
      <c r="AK71" s="253" t="e">
        <f>+Zał.1_WPF_bazowy!#REF!</f>
        <v>#REF!</v>
      </c>
      <c r="AL71" s="254" t="e">
        <f>+Zał.1_WPF_bazowy!#REF!</f>
        <v>#REF!</v>
      </c>
    </row>
    <row r="72" spans="1:253" outlineLevel="2">
      <c r="A72" s="309"/>
      <c r="B72" s="32" t="s">
        <v>162</v>
      </c>
      <c r="C72" s="99"/>
      <c r="D72" s="294" t="s">
        <v>197</v>
      </c>
      <c r="E72" s="197">
        <f>Zał.1_WPF_bazowy!E72</f>
        <v>2450536</v>
      </c>
      <c r="F72" s="198">
        <f>Zał.1_WPF_bazowy!F72</f>
        <v>1590835.04</v>
      </c>
      <c r="G72" s="198">
        <f>Zał.1_WPF_bazowy!G72</f>
        <v>1184859</v>
      </c>
      <c r="H72" s="251">
        <f>Zał.1_WPF_bazowy!H72</f>
        <v>1184793.3400000001</v>
      </c>
      <c r="I72" s="252">
        <f>+Zał.1_WPF_bazowy!I72</f>
        <v>4559500</v>
      </c>
      <c r="J72" s="253">
        <f>+Zał.1_WPF_bazowy!J72</f>
        <v>900300</v>
      </c>
      <c r="K72" s="253">
        <f>+Zał.1_WPF_bazowy!K72</f>
        <v>2682000</v>
      </c>
      <c r="L72" s="253">
        <f>+Zał.1_WPF_bazowy!L72</f>
        <v>2570000</v>
      </c>
      <c r="M72" s="253" t="e">
        <f>+Zał.1_WPF_bazowy!#REF!</f>
        <v>#REF!</v>
      </c>
      <c r="N72" s="253" t="e">
        <f>+Zał.1_WPF_bazowy!#REF!</f>
        <v>#REF!</v>
      </c>
      <c r="O72" s="253" t="e">
        <f>+Zał.1_WPF_bazowy!#REF!</f>
        <v>#REF!</v>
      </c>
      <c r="P72" s="253" t="e">
        <f>+Zał.1_WPF_bazowy!#REF!</f>
        <v>#REF!</v>
      </c>
      <c r="Q72" s="253" t="e">
        <f>+Zał.1_WPF_bazowy!#REF!</f>
        <v>#REF!</v>
      </c>
      <c r="R72" s="253" t="e">
        <f>+Zał.1_WPF_bazowy!#REF!</f>
        <v>#REF!</v>
      </c>
      <c r="S72" s="253" t="e">
        <f>+Zał.1_WPF_bazowy!#REF!</f>
        <v>#REF!</v>
      </c>
      <c r="T72" s="253" t="e">
        <f>+Zał.1_WPF_bazowy!#REF!</f>
        <v>#REF!</v>
      </c>
      <c r="U72" s="253" t="e">
        <f>+Zał.1_WPF_bazowy!#REF!</f>
        <v>#REF!</v>
      </c>
      <c r="V72" s="253" t="e">
        <f>+Zał.1_WPF_bazowy!#REF!</f>
        <v>#REF!</v>
      </c>
      <c r="W72" s="253" t="e">
        <f>+Zał.1_WPF_bazowy!#REF!</f>
        <v>#REF!</v>
      </c>
      <c r="X72" s="253" t="e">
        <f>+Zał.1_WPF_bazowy!#REF!</f>
        <v>#REF!</v>
      </c>
      <c r="Y72" s="253" t="e">
        <f>+Zał.1_WPF_bazowy!#REF!</f>
        <v>#REF!</v>
      </c>
      <c r="Z72" s="253" t="e">
        <f>+Zał.1_WPF_bazowy!#REF!</f>
        <v>#REF!</v>
      </c>
      <c r="AA72" s="253" t="e">
        <f>+Zał.1_WPF_bazowy!#REF!</f>
        <v>#REF!</v>
      </c>
      <c r="AB72" s="253" t="e">
        <f>+Zał.1_WPF_bazowy!#REF!</f>
        <v>#REF!</v>
      </c>
      <c r="AC72" s="253" t="e">
        <f>+Zał.1_WPF_bazowy!#REF!</f>
        <v>#REF!</v>
      </c>
      <c r="AD72" s="253" t="e">
        <f>+Zał.1_WPF_bazowy!#REF!</f>
        <v>#REF!</v>
      </c>
      <c r="AE72" s="253" t="e">
        <f>+Zał.1_WPF_bazowy!#REF!</f>
        <v>#REF!</v>
      </c>
      <c r="AF72" s="253" t="e">
        <f>+Zał.1_WPF_bazowy!#REF!</f>
        <v>#REF!</v>
      </c>
      <c r="AG72" s="253" t="e">
        <f>+Zał.1_WPF_bazowy!#REF!</f>
        <v>#REF!</v>
      </c>
      <c r="AH72" s="253" t="e">
        <f>+Zał.1_WPF_bazowy!#REF!</f>
        <v>#REF!</v>
      </c>
      <c r="AI72" s="253" t="e">
        <f>+Zał.1_WPF_bazowy!#REF!</f>
        <v>#REF!</v>
      </c>
      <c r="AJ72" s="253" t="e">
        <f>+Zał.1_WPF_bazowy!#REF!</f>
        <v>#REF!</v>
      </c>
      <c r="AK72" s="253" t="e">
        <f>+Zał.1_WPF_bazowy!#REF!</f>
        <v>#REF!</v>
      </c>
      <c r="AL72" s="254" t="e">
        <f>+Zał.1_WPF_bazowy!#REF!</f>
        <v>#REF!</v>
      </c>
    </row>
    <row r="73" spans="1:253" outlineLevel="2">
      <c r="A73" s="309"/>
      <c r="B73" s="32" t="s">
        <v>163</v>
      </c>
      <c r="C73" s="99"/>
      <c r="D73" s="294" t="s">
        <v>198</v>
      </c>
      <c r="E73" s="197">
        <f>Zał.1_WPF_bazowy!E73</f>
        <v>0</v>
      </c>
      <c r="F73" s="198">
        <f>Zał.1_WPF_bazowy!F73</f>
        <v>0</v>
      </c>
      <c r="G73" s="198">
        <f>Zał.1_WPF_bazowy!G73</f>
        <v>39000</v>
      </c>
      <c r="H73" s="251">
        <f>Zał.1_WPF_bazowy!H73</f>
        <v>27700</v>
      </c>
      <c r="I73" s="252">
        <f>+Zał.1_WPF_bazowy!I73</f>
        <v>155000</v>
      </c>
      <c r="J73" s="253">
        <f>+Zał.1_WPF_bazowy!J73</f>
        <v>0</v>
      </c>
      <c r="K73" s="253">
        <f>+Zał.1_WPF_bazowy!K73</f>
        <v>0</v>
      </c>
      <c r="L73" s="253">
        <f>+Zał.1_WPF_bazowy!L73</f>
        <v>0</v>
      </c>
      <c r="M73" s="253" t="e">
        <f>+Zał.1_WPF_bazowy!#REF!</f>
        <v>#REF!</v>
      </c>
      <c r="N73" s="253" t="e">
        <f>+Zał.1_WPF_bazowy!#REF!</f>
        <v>#REF!</v>
      </c>
      <c r="O73" s="253" t="e">
        <f>+Zał.1_WPF_bazowy!#REF!</f>
        <v>#REF!</v>
      </c>
      <c r="P73" s="253" t="e">
        <f>+Zał.1_WPF_bazowy!#REF!</f>
        <v>#REF!</v>
      </c>
      <c r="Q73" s="253" t="e">
        <f>+Zał.1_WPF_bazowy!#REF!</f>
        <v>#REF!</v>
      </c>
      <c r="R73" s="253" t="e">
        <f>+Zał.1_WPF_bazowy!#REF!</f>
        <v>#REF!</v>
      </c>
      <c r="S73" s="253" t="e">
        <f>+Zał.1_WPF_bazowy!#REF!</f>
        <v>#REF!</v>
      </c>
      <c r="T73" s="253" t="e">
        <f>+Zał.1_WPF_bazowy!#REF!</f>
        <v>#REF!</v>
      </c>
      <c r="U73" s="253" t="e">
        <f>+Zał.1_WPF_bazowy!#REF!</f>
        <v>#REF!</v>
      </c>
      <c r="V73" s="253" t="e">
        <f>+Zał.1_WPF_bazowy!#REF!</f>
        <v>#REF!</v>
      </c>
      <c r="W73" s="253" t="e">
        <f>+Zał.1_WPF_bazowy!#REF!</f>
        <v>#REF!</v>
      </c>
      <c r="X73" s="253" t="e">
        <f>+Zał.1_WPF_bazowy!#REF!</f>
        <v>#REF!</v>
      </c>
      <c r="Y73" s="253" t="e">
        <f>+Zał.1_WPF_bazowy!#REF!</f>
        <v>#REF!</v>
      </c>
      <c r="Z73" s="253" t="e">
        <f>+Zał.1_WPF_bazowy!#REF!</f>
        <v>#REF!</v>
      </c>
      <c r="AA73" s="253" t="e">
        <f>+Zał.1_WPF_bazowy!#REF!</f>
        <v>#REF!</v>
      </c>
      <c r="AB73" s="253" t="e">
        <f>+Zał.1_WPF_bazowy!#REF!</f>
        <v>#REF!</v>
      </c>
      <c r="AC73" s="253" t="e">
        <f>+Zał.1_WPF_bazowy!#REF!</f>
        <v>#REF!</v>
      </c>
      <c r="AD73" s="253" t="e">
        <f>+Zał.1_WPF_bazowy!#REF!</f>
        <v>#REF!</v>
      </c>
      <c r="AE73" s="253" t="e">
        <f>+Zał.1_WPF_bazowy!#REF!</f>
        <v>#REF!</v>
      </c>
      <c r="AF73" s="253" t="e">
        <f>+Zał.1_WPF_bazowy!#REF!</f>
        <v>#REF!</v>
      </c>
      <c r="AG73" s="253" t="e">
        <f>+Zał.1_WPF_bazowy!#REF!</f>
        <v>#REF!</v>
      </c>
      <c r="AH73" s="253" t="e">
        <f>+Zał.1_WPF_bazowy!#REF!</f>
        <v>#REF!</v>
      </c>
      <c r="AI73" s="253" t="e">
        <f>+Zał.1_WPF_bazowy!#REF!</f>
        <v>#REF!</v>
      </c>
      <c r="AJ73" s="253" t="e">
        <f>+Zał.1_WPF_bazowy!#REF!</f>
        <v>#REF!</v>
      </c>
      <c r="AK73" s="253" t="e">
        <f>+Zał.1_WPF_bazowy!#REF!</f>
        <v>#REF!</v>
      </c>
      <c r="AL73" s="254" t="e">
        <f>+Zał.1_WPF_bazowy!#REF!</f>
        <v>#REF!</v>
      </c>
    </row>
    <row r="74" spans="1:253" s="97" customFormat="1" ht="24" outlineLevel="1">
      <c r="A74" s="309"/>
      <c r="B74" s="31">
        <v>12</v>
      </c>
      <c r="C74" s="366"/>
      <c r="D74" s="293" t="s">
        <v>97</v>
      </c>
      <c r="E74" s="201" t="s">
        <v>28</v>
      </c>
      <c r="F74" s="202" t="s">
        <v>28</v>
      </c>
      <c r="G74" s="202" t="s">
        <v>28</v>
      </c>
      <c r="H74" s="262" t="s">
        <v>28</v>
      </c>
      <c r="I74" s="263" t="s">
        <v>28</v>
      </c>
      <c r="J74" s="264" t="s">
        <v>28</v>
      </c>
      <c r="K74" s="264" t="s">
        <v>28</v>
      </c>
      <c r="L74" s="264" t="s">
        <v>28</v>
      </c>
      <c r="M74" s="264" t="s">
        <v>28</v>
      </c>
      <c r="N74" s="264" t="s">
        <v>28</v>
      </c>
      <c r="O74" s="264" t="s">
        <v>28</v>
      </c>
      <c r="P74" s="264" t="s">
        <v>28</v>
      </c>
      <c r="Q74" s="264" t="s">
        <v>28</v>
      </c>
      <c r="R74" s="264" t="s">
        <v>28</v>
      </c>
      <c r="S74" s="264" t="s">
        <v>28</v>
      </c>
      <c r="T74" s="264" t="s">
        <v>28</v>
      </c>
      <c r="U74" s="264" t="s">
        <v>28</v>
      </c>
      <c r="V74" s="264" t="s">
        <v>28</v>
      </c>
      <c r="W74" s="264" t="s">
        <v>28</v>
      </c>
      <c r="X74" s="264" t="s">
        <v>28</v>
      </c>
      <c r="Y74" s="264" t="s">
        <v>28</v>
      </c>
      <c r="Z74" s="264" t="s">
        <v>28</v>
      </c>
      <c r="AA74" s="264" t="s">
        <v>28</v>
      </c>
      <c r="AB74" s="264" t="s">
        <v>28</v>
      </c>
      <c r="AC74" s="264" t="s">
        <v>28</v>
      </c>
      <c r="AD74" s="264" t="s">
        <v>28</v>
      </c>
      <c r="AE74" s="264" t="s">
        <v>28</v>
      </c>
      <c r="AF74" s="264" t="s">
        <v>28</v>
      </c>
      <c r="AG74" s="264" t="s">
        <v>28</v>
      </c>
      <c r="AH74" s="264" t="s">
        <v>28</v>
      </c>
      <c r="AI74" s="264" t="s">
        <v>28</v>
      </c>
      <c r="AJ74" s="264" t="s">
        <v>28</v>
      </c>
      <c r="AK74" s="264" t="s">
        <v>28</v>
      </c>
      <c r="AL74" s="265" t="s">
        <v>28</v>
      </c>
    </row>
    <row r="75" spans="1:253" ht="24" outlineLevel="2">
      <c r="A75" s="309"/>
      <c r="B75" s="32" t="s">
        <v>164</v>
      </c>
      <c r="C75" s="99"/>
      <c r="D75" s="294" t="s">
        <v>475</v>
      </c>
      <c r="E75" s="197">
        <f>Zał.1_WPF_bazowy!E75</f>
        <v>104205.75</v>
      </c>
      <c r="F75" s="198">
        <f>Zał.1_WPF_bazowy!F75</f>
        <v>179911.06</v>
      </c>
      <c r="G75" s="198">
        <f>Zał.1_WPF_bazowy!G75</f>
        <v>109888.97</v>
      </c>
      <c r="H75" s="251">
        <f>Zał.1_WPF_bazowy!H75</f>
        <v>105623.85</v>
      </c>
      <c r="I75" s="252">
        <f>+Zał.1_WPF_bazowy!I75</f>
        <v>261432.67</v>
      </c>
      <c r="J75" s="253">
        <f>+Zał.1_WPF_bazowy!J75</f>
        <v>0</v>
      </c>
      <c r="K75" s="253">
        <f>+Zał.1_WPF_bazowy!K75</f>
        <v>0</v>
      </c>
      <c r="L75" s="253">
        <f>+Zał.1_WPF_bazowy!L75</f>
        <v>0</v>
      </c>
      <c r="M75" s="253" t="e">
        <f>+Zał.1_WPF_bazowy!#REF!</f>
        <v>#REF!</v>
      </c>
      <c r="N75" s="253" t="e">
        <f>+Zał.1_WPF_bazowy!#REF!</f>
        <v>#REF!</v>
      </c>
      <c r="O75" s="253" t="e">
        <f>+Zał.1_WPF_bazowy!#REF!</f>
        <v>#REF!</v>
      </c>
      <c r="P75" s="253" t="e">
        <f>+Zał.1_WPF_bazowy!#REF!</f>
        <v>#REF!</v>
      </c>
      <c r="Q75" s="253" t="e">
        <f>+Zał.1_WPF_bazowy!#REF!</f>
        <v>#REF!</v>
      </c>
      <c r="R75" s="253" t="e">
        <f>+Zał.1_WPF_bazowy!#REF!</f>
        <v>#REF!</v>
      </c>
      <c r="S75" s="253" t="e">
        <f>+Zał.1_WPF_bazowy!#REF!</f>
        <v>#REF!</v>
      </c>
      <c r="T75" s="253" t="e">
        <f>+Zał.1_WPF_bazowy!#REF!</f>
        <v>#REF!</v>
      </c>
      <c r="U75" s="253" t="e">
        <f>+Zał.1_WPF_bazowy!#REF!</f>
        <v>#REF!</v>
      </c>
      <c r="V75" s="253" t="e">
        <f>+Zał.1_WPF_bazowy!#REF!</f>
        <v>#REF!</v>
      </c>
      <c r="W75" s="253" t="e">
        <f>+Zał.1_WPF_bazowy!#REF!</f>
        <v>#REF!</v>
      </c>
      <c r="X75" s="253" t="e">
        <f>+Zał.1_WPF_bazowy!#REF!</f>
        <v>#REF!</v>
      </c>
      <c r="Y75" s="253" t="e">
        <f>+Zał.1_WPF_bazowy!#REF!</f>
        <v>#REF!</v>
      </c>
      <c r="Z75" s="253" t="e">
        <f>+Zał.1_WPF_bazowy!#REF!</f>
        <v>#REF!</v>
      </c>
      <c r="AA75" s="253" t="e">
        <f>+Zał.1_WPF_bazowy!#REF!</f>
        <v>#REF!</v>
      </c>
      <c r="AB75" s="253" t="e">
        <f>+Zał.1_WPF_bazowy!#REF!</f>
        <v>#REF!</v>
      </c>
      <c r="AC75" s="253" t="e">
        <f>+Zał.1_WPF_bazowy!#REF!</f>
        <v>#REF!</v>
      </c>
      <c r="AD75" s="253" t="e">
        <f>+Zał.1_WPF_bazowy!#REF!</f>
        <v>#REF!</v>
      </c>
      <c r="AE75" s="253" t="e">
        <f>+Zał.1_WPF_bazowy!#REF!</f>
        <v>#REF!</v>
      </c>
      <c r="AF75" s="253" t="e">
        <f>+Zał.1_WPF_bazowy!#REF!</f>
        <v>#REF!</v>
      </c>
      <c r="AG75" s="253" t="e">
        <f>+Zał.1_WPF_bazowy!#REF!</f>
        <v>#REF!</v>
      </c>
      <c r="AH75" s="253" t="e">
        <f>+Zał.1_WPF_bazowy!#REF!</f>
        <v>#REF!</v>
      </c>
      <c r="AI75" s="253" t="e">
        <f>+Zał.1_WPF_bazowy!#REF!</f>
        <v>#REF!</v>
      </c>
      <c r="AJ75" s="253" t="e">
        <f>+Zał.1_WPF_bazowy!#REF!</f>
        <v>#REF!</v>
      </c>
      <c r="AK75" s="253" t="e">
        <f>+Zał.1_WPF_bazowy!#REF!</f>
        <v>#REF!</v>
      </c>
      <c r="AL75" s="254" t="e">
        <f>+Zał.1_WPF_bazowy!#REF!</f>
        <v>#REF!</v>
      </c>
    </row>
    <row r="76" spans="1:253" outlineLevel="2">
      <c r="A76" s="309"/>
      <c r="B76" s="32" t="s">
        <v>99</v>
      </c>
      <c r="C76" s="99"/>
      <c r="D76" s="376" t="s">
        <v>454</v>
      </c>
      <c r="E76" s="197">
        <f>Zał.1_WPF_bazowy!E76</f>
        <v>104205.75</v>
      </c>
      <c r="F76" s="198">
        <f>Zał.1_WPF_bazowy!F76</f>
        <v>160689</v>
      </c>
      <c r="G76" s="198">
        <f>Zał.1_WPF_bazowy!G76</f>
        <v>96205.25</v>
      </c>
      <c r="H76" s="251">
        <f>Zał.1_WPF_bazowy!H76</f>
        <v>93191.67</v>
      </c>
      <c r="I76" s="252">
        <f>+Zał.1_WPF_bazowy!I76</f>
        <v>222217.77</v>
      </c>
      <c r="J76" s="253">
        <f>+Zał.1_WPF_bazowy!J76</f>
        <v>0</v>
      </c>
      <c r="K76" s="253">
        <f>+Zał.1_WPF_bazowy!K76</f>
        <v>0</v>
      </c>
      <c r="L76" s="253">
        <f>+Zał.1_WPF_bazowy!L76</f>
        <v>0</v>
      </c>
      <c r="M76" s="253" t="e">
        <f>+Zał.1_WPF_bazowy!#REF!</f>
        <v>#REF!</v>
      </c>
      <c r="N76" s="253" t="e">
        <f>+Zał.1_WPF_bazowy!#REF!</f>
        <v>#REF!</v>
      </c>
      <c r="O76" s="253" t="e">
        <f>+Zał.1_WPF_bazowy!#REF!</f>
        <v>#REF!</v>
      </c>
      <c r="P76" s="253" t="e">
        <f>+Zał.1_WPF_bazowy!#REF!</f>
        <v>#REF!</v>
      </c>
      <c r="Q76" s="253" t="e">
        <f>+Zał.1_WPF_bazowy!#REF!</f>
        <v>#REF!</v>
      </c>
      <c r="R76" s="253" t="e">
        <f>+Zał.1_WPF_bazowy!#REF!</f>
        <v>#REF!</v>
      </c>
      <c r="S76" s="253" t="e">
        <f>+Zał.1_WPF_bazowy!#REF!</f>
        <v>#REF!</v>
      </c>
      <c r="T76" s="253" t="e">
        <f>+Zał.1_WPF_bazowy!#REF!</f>
        <v>#REF!</v>
      </c>
      <c r="U76" s="253" t="e">
        <f>+Zał.1_WPF_bazowy!#REF!</f>
        <v>#REF!</v>
      </c>
      <c r="V76" s="253" t="e">
        <f>+Zał.1_WPF_bazowy!#REF!</f>
        <v>#REF!</v>
      </c>
      <c r="W76" s="253" t="e">
        <f>+Zał.1_WPF_bazowy!#REF!</f>
        <v>#REF!</v>
      </c>
      <c r="X76" s="253" t="e">
        <f>+Zał.1_WPF_bazowy!#REF!</f>
        <v>#REF!</v>
      </c>
      <c r="Y76" s="253" t="e">
        <f>+Zał.1_WPF_bazowy!#REF!</f>
        <v>#REF!</v>
      </c>
      <c r="Z76" s="253" t="e">
        <f>+Zał.1_WPF_bazowy!#REF!</f>
        <v>#REF!</v>
      </c>
      <c r="AA76" s="253" t="e">
        <f>+Zał.1_WPF_bazowy!#REF!</f>
        <v>#REF!</v>
      </c>
      <c r="AB76" s="253" t="e">
        <f>+Zał.1_WPF_bazowy!#REF!</f>
        <v>#REF!</v>
      </c>
      <c r="AC76" s="253" t="e">
        <f>+Zał.1_WPF_bazowy!#REF!</f>
        <v>#REF!</v>
      </c>
      <c r="AD76" s="253" t="e">
        <f>+Zał.1_WPF_bazowy!#REF!</f>
        <v>#REF!</v>
      </c>
      <c r="AE76" s="253" t="e">
        <f>+Zał.1_WPF_bazowy!#REF!</f>
        <v>#REF!</v>
      </c>
      <c r="AF76" s="253" t="e">
        <f>+Zał.1_WPF_bazowy!#REF!</f>
        <v>#REF!</v>
      </c>
      <c r="AG76" s="253" t="e">
        <f>+Zał.1_WPF_bazowy!#REF!</f>
        <v>#REF!</v>
      </c>
      <c r="AH76" s="253" t="e">
        <f>+Zał.1_WPF_bazowy!#REF!</f>
        <v>#REF!</v>
      </c>
      <c r="AI76" s="253" t="e">
        <f>+Zał.1_WPF_bazowy!#REF!</f>
        <v>#REF!</v>
      </c>
      <c r="AJ76" s="253" t="e">
        <f>+Zał.1_WPF_bazowy!#REF!</f>
        <v>#REF!</v>
      </c>
      <c r="AK76" s="253" t="e">
        <f>+Zał.1_WPF_bazowy!#REF!</f>
        <v>#REF!</v>
      </c>
      <c r="AL76" s="254" t="e">
        <f>+Zał.1_WPF_bazowy!#REF!</f>
        <v>#REF!</v>
      </c>
    </row>
    <row r="77" spans="1:253" ht="24" outlineLevel="2">
      <c r="A77" s="309"/>
      <c r="B77" s="32" t="s">
        <v>101</v>
      </c>
      <c r="C77" s="99"/>
      <c r="D77" s="375" t="s">
        <v>453</v>
      </c>
      <c r="E77" s="197">
        <f>Zał.1_WPF_bazowy!E77</f>
        <v>0</v>
      </c>
      <c r="F77" s="198">
        <f>Zał.1_WPF_bazowy!F77</f>
        <v>0</v>
      </c>
      <c r="G77" s="198">
        <f>Zał.1_WPF_bazowy!G77</f>
        <v>96205.25</v>
      </c>
      <c r="H77" s="251">
        <f>Zał.1_WPF_bazowy!H77</f>
        <v>93191.67</v>
      </c>
      <c r="I77" s="252">
        <f>+Zał.1_WPF_bazowy!I77</f>
        <v>222217.77</v>
      </c>
      <c r="J77" s="253">
        <f>+Zał.1_WPF_bazowy!J77</f>
        <v>0</v>
      </c>
      <c r="K77" s="253">
        <f>+Zał.1_WPF_bazowy!K77</f>
        <v>0</v>
      </c>
      <c r="L77" s="253">
        <f>+Zał.1_WPF_bazowy!L77</f>
        <v>0</v>
      </c>
      <c r="M77" s="253" t="e">
        <f>+Zał.1_WPF_bazowy!#REF!</f>
        <v>#REF!</v>
      </c>
      <c r="N77" s="253" t="e">
        <f>+Zał.1_WPF_bazowy!#REF!</f>
        <v>#REF!</v>
      </c>
      <c r="O77" s="253" t="e">
        <f>+Zał.1_WPF_bazowy!#REF!</f>
        <v>#REF!</v>
      </c>
      <c r="P77" s="253" t="e">
        <f>+Zał.1_WPF_bazowy!#REF!</f>
        <v>#REF!</v>
      </c>
      <c r="Q77" s="253" t="e">
        <f>+Zał.1_WPF_bazowy!#REF!</f>
        <v>#REF!</v>
      </c>
      <c r="R77" s="253" t="e">
        <f>+Zał.1_WPF_bazowy!#REF!</f>
        <v>#REF!</v>
      </c>
      <c r="S77" s="253" t="e">
        <f>+Zał.1_WPF_bazowy!#REF!</f>
        <v>#REF!</v>
      </c>
      <c r="T77" s="253" t="e">
        <f>+Zał.1_WPF_bazowy!#REF!</f>
        <v>#REF!</v>
      </c>
      <c r="U77" s="253" t="e">
        <f>+Zał.1_WPF_bazowy!#REF!</f>
        <v>#REF!</v>
      </c>
      <c r="V77" s="253" t="e">
        <f>+Zał.1_WPF_bazowy!#REF!</f>
        <v>#REF!</v>
      </c>
      <c r="W77" s="253" t="e">
        <f>+Zał.1_WPF_bazowy!#REF!</f>
        <v>#REF!</v>
      </c>
      <c r="X77" s="253" t="e">
        <f>+Zał.1_WPF_bazowy!#REF!</f>
        <v>#REF!</v>
      </c>
      <c r="Y77" s="253" t="e">
        <f>+Zał.1_WPF_bazowy!#REF!</f>
        <v>#REF!</v>
      </c>
      <c r="Z77" s="253" t="e">
        <f>+Zał.1_WPF_bazowy!#REF!</f>
        <v>#REF!</v>
      </c>
      <c r="AA77" s="253" t="e">
        <f>+Zał.1_WPF_bazowy!#REF!</f>
        <v>#REF!</v>
      </c>
      <c r="AB77" s="253" t="e">
        <f>+Zał.1_WPF_bazowy!#REF!</f>
        <v>#REF!</v>
      </c>
      <c r="AC77" s="253" t="e">
        <f>+Zał.1_WPF_bazowy!#REF!</f>
        <v>#REF!</v>
      </c>
      <c r="AD77" s="253" t="e">
        <f>+Zał.1_WPF_bazowy!#REF!</f>
        <v>#REF!</v>
      </c>
      <c r="AE77" s="253" t="e">
        <f>+Zał.1_WPF_bazowy!#REF!</f>
        <v>#REF!</v>
      </c>
      <c r="AF77" s="253" t="e">
        <f>+Zał.1_WPF_bazowy!#REF!</f>
        <v>#REF!</v>
      </c>
      <c r="AG77" s="253" t="e">
        <f>+Zał.1_WPF_bazowy!#REF!</f>
        <v>#REF!</v>
      </c>
      <c r="AH77" s="253" t="e">
        <f>+Zał.1_WPF_bazowy!#REF!</f>
        <v>#REF!</v>
      </c>
      <c r="AI77" s="253" t="e">
        <f>+Zał.1_WPF_bazowy!#REF!</f>
        <v>#REF!</v>
      </c>
      <c r="AJ77" s="253" t="e">
        <f>+Zał.1_WPF_bazowy!#REF!</f>
        <v>#REF!</v>
      </c>
      <c r="AK77" s="253" t="e">
        <f>+Zał.1_WPF_bazowy!#REF!</f>
        <v>#REF!</v>
      </c>
      <c r="AL77" s="254" t="e">
        <f>+Zał.1_WPF_bazowy!#REF!</f>
        <v>#REF!</v>
      </c>
    </row>
    <row r="78" spans="1:253" ht="24" outlineLevel="2">
      <c r="A78" s="309"/>
      <c r="B78" s="32" t="s">
        <v>165</v>
      </c>
      <c r="C78" s="99"/>
      <c r="D78" s="294" t="s">
        <v>474</v>
      </c>
      <c r="E78" s="197">
        <f>Zał.1_WPF_bazowy!E78</f>
        <v>1041937.3</v>
      </c>
      <c r="F78" s="198">
        <f>Zał.1_WPF_bazowy!F78</f>
        <v>1013324.7</v>
      </c>
      <c r="G78" s="198">
        <f>Zał.1_WPF_bazowy!G78</f>
        <v>421154</v>
      </c>
      <c r="H78" s="251">
        <f>Zał.1_WPF_bazowy!H78</f>
        <v>478204.67</v>
      </c>
      <c r="I78" s="252">
        <f>+Zał.1_WPF_bazowy!I78</f>
        <v>2179404</v>
      </c>
      <c r="J78" s="253">
        <f>+Zał.1_WPF_bazowy!J78</f>
        <v>0</v>
      </c>
      <c r="K78" s="253">
        <f>+Zał.1_WPF_bazowy!K78</f>
        <v>0</v>
      </c>
      <c r="L78" s="253">
        <f>+Zał.1_WPF_bazowy!L78</f>
        <v>0</v>
      </c>
      <c r="M78" s="253" t="e">
        <f>+Zał.1_WPF_bazowy!#REF!</f>
        <v>#REF!</v>
      </c>
      <c r="N78" s="253" t="e">
        <f>+Zał.1_WPF_bazowy!#REF!</f>
        <v>#REF!</v>
      </c>
      <c r="O78" s="253" t="e">
        <f>+Zał.1_WPF_bazowy!#REF!</f>
        <v>#REF!</v>
      </c>
      <c r="P78" s="253" t="e">
        <f>+Zał.1_WPF_bazowy!#REF!</f>
        <v>#REF!</v>
      </c>
      <c r="Q78" s="253" t="e">
        <f>+Zał.1_WPF_bazowy!#REF!</f>
        <v>#REF!</v>
      </c>
      <c r="R78" s="253" t="e">
        <f>+Zał.1_WPF_bazowy!#REF!</f>
        <v>#REF!</v>
      </c>
      <c r="S78" s="253" t="e">
        <f>+Zał.1_WPF_bazowy!#REF!</f>
        <v>#REF!</v>
      </c>
      <c r="T78" s="253" t="e">
        <f>+Zał.1_WPF_bazowy!#REF!</f>
        <v>#REF!</v>
      </c>
      <c r="U78" s="253" t="e">
        <f>+Zał.1_WPF_bazowy!#REF!</f>
        <v>#REF!</v>
      </c>
      <c r="V78" s="253" t="e">
        <f>+Zał.1_WPF_bazowy!#REF!</f>
        <v>#REF!</v>
      </c>
      <c r="W78" s="253" t="e">
        <f>+Zał.1_WPF_bazowy!#REF!</f>
        <v>#REF!</v>
      </c>
      <c r="X78" s="253" t="e">
        <f>+Zał.1_WPF_bazowy!#REF!</f>
        <v>#REF!</v>
      </c>
      <c r="Y78" s="253" t="e">
        <f>+Zał.1_WPF_bazowy!#REF!</f>
        <v>#REF!</v>
      </c>
      <c r="Z78" s="253" t="e">
        <f>+Zał.1_WPF_bazowy!#REF!</f>
        <v>#REF!</v>
      </c>
      <c r="AA78" s="253" t="e">
        <f>+Zał.1_WPF_bazowy!#REF!</f>
        <v>#REF!</v>
      </c>
      <c r="AB78" s="253" t="e">
        <f>+Zał.1_WPF_bazowy!#REF!</f>
        <v>#REF!</v>
      </c>
      <c r="AC78" s="253" t="e">
        <f>+Zał.1_WPF_bazowy!#REF!</f>
        <v>#REF!</v>
      </c>
      <c r="AD78" s="253" t="e">
        <f>+Zał.1_WPF_bazowy!#REF!</f>
        <v>#REF!</v>
      </c>
      <c r="AE78" s="253" t="e">
        <f>+Zał.1_WPF_bazowy!#REF!</f>
        <v>#REF!</v>
      </c>
      <c r="AF78" s="253" t="e">
        <f>+Zał.1_WPF_bazowy!#REF!</f>
        <v>#REF!</v>
      </c>
      <c r="AG78" s="253" t="e">
        <f>+Zał.1_WPF_bazowy!#REF!</f>
        <v>#REF!</v>
      </c>
      <c r="AH78" s="253" t="e">
        <f>+Zał.1_WPF_bazowy!#REF!</f>
        <v>#REF!</v>
      </c>
      <c r="AI78" s="253" t="e">
        <f>+Zał.1_WPF_bazowy!#REF!</f>
        <v>#REF!</v>
      </c>
      <c r="AJ78" s="253" t="e">
        <f>+Zał.1_WPF_bazowy!#REF!</f>
        <v>#REF!</v>
      </c>
      <c r="AK78" s="253" t="e">
        <f>+Zał.1_WPF_bazowy!#REF!</f>
        <v>#REF!</v>
      </c>
      <c r="AL78" s="254" t="e">
        <f>+Zał.1_WPF_bazowy!#REF!</f>
        <v>#REF!</v>
      </c>
    </row>
    <row r="79" spans="1:253" outlineLevel="2">
      <c r="A79" s="309"/>
      <c r="B79" s="32" t="s">
        <v>104</v>
      </c>
      <c r="C79" s="99"/>
      <c r="D79" s="376" t="s">
        <v>454</v>
      </c>
      <c r="E79" s="197">
        <f>Zał.1_WPF_bazowy!E79</f>
        <v>1041937.3</v>
      </c>
      <c r="F79" s="198">
        <f>Zał.1_WPF_bazowy!F79</f>
        <v>826032</v>
      </c>
      <c r="G79" s="198">
        <f>Zał.1_WPF_bazowy!G79</f>
        <v>232602</v>
      </c>
      <c r="H79" s="251">
        <f>Zał.1_WPF_bazowy!H79</f>
        <v>232601.81</v>
      </c>
      <c r="I79" s="252">
        <f>+Zał.1_WPF_bazowy!I79</f>
        <v>2114404</v>
      </c>
      <c r="J79" s="253">
        <f>+Zał.1_WPF_bazowy!J79</f>
        <v>0</v>
      </c>
      <c r="K79" s="253">
        <f>+Zał.1_WPF_bazowy!K79</f>
        <v>0</v>
      </c>
      <c r="L79" s="253">
        <f>+Zał.1_WPF_bazowy!L79</f>
        <v>0</v>
      </c>
      <c r="M79" s="253" t="e">
        <f>+Zał.1_WPF_bazowy!#REF!</f>
        <v>#REF!</v>
      </c>
      <c r="N79" s="253" t="e">
        <f>+Zał.1_WPF_bazowy!#REF!</f>
        <v>#REF!</v>
      </c>
      <c r="O79" s="253" t="e">
        <f>+Zał.1_WPF_bazowy!#REF!</f>
        <v>#REF!</v>
      </c>
      <c r="P79" s="253" t="e">
        <f>+Zał.1_WPF_bazowy!#REF!</f>
        <v>#REF!</v>
      </c>
      <c r="Q79" s="253" t="e">
        <f>+Zał.1_WPF_bazowy!#REF!</f>
        <v>#REF!</v>
      </c>
      <c r="R79" s="253" t="e">
        <f>+Zał.1_WPF_bazowy!#REF!</f>
        <v>#REF!</v>
      </c>
      <c r="S79" s="253" t="e">
        <f>+Zał.1_WPF_bazowy!#REF!</f>
        <v>#REF!</v>
      </c>
      <c r="T79" s="253" t="e">
        <f>+Zał.1_WPF_bazowy!#REF!</f>
        <v>#REF!</v>
      </c>
      <c r="U79" s="253" t="e">
        <f>+Zał.1_WPF_bazowy!#REF!</f>
        <v>#REF!</v>
      </c>
      <c r="V79" s="253" t="e">
        <f>+Zał.1_WPF_bazowy!#REF!</f>
        <v>#REF!</v>
      </c>
      <c r="W79" s="253" t="e">
        <f>+Zał.1_WPF_bazowy!#REF!</f>
        <v>#REF!</v>
      </c>
      <c r="X79" s="253" t="e">
        <f>+Zał.1_WPF_bazowy!#REF!</f>
        <v>#REF!</v>
      </c>
      <c r="Y79" s="253" t="e">
        <f>+Zał.1_WPF_bazowy!#REF!</f>
        <v>#REF!</v>
      </c>
      <c r="Z79" s="253" t="e">
        <f>+Zał.1_WPF_bazowy!#REF!</f>
        <v>#REF!</v>
      </c>
      <c r="AA79" s="253" t="e">
        <f>+Zał.1_WPF_bazowy!#REF!</f>
        <v>#REF!</v>
      </c>
      <c r="AB79" s="253" t="e">
        <f>+Zał.1_WPF_bazowy!#REF!</f>
        <v>#REF!</v>
      </c>
      <c r="AC79" s="253" t="e">
        <f>+Zał.1_WPF_bazowy!#REF!</f>
        <v>#REF!</v>
      </c>
      <c r="AD79" s="253" t="e">
        <f>+Zał.1_WPF_bazowy!#REF!</f>
        <v>#REF!</v>
      </c>
      <c r="AE79" s="253" t="e">
        <f>+Zał.1_WPF_bazowy!#REF!</f>
        <v>#REF!</v>
      </c>
      <c r="AF79" s="253" t="e">
        <f>+Zał.1_WPF_bazowy!#REF!</f>
        <v>#REF!</v>
      </c>
      <c r="AG79" s="253" t="e">
        <f>+Zał.1_WPF_bazowy!#REF!</f>
        <v>#REF!</v>
      </c>
      <c r="AH79" s="253" t="e">
        <f>+Zał.1_WPF_bazowy!#REF!</f>
        <v>#REF!</v>
      </c>
      <c r="AI79" s="253" t="e">
        <f>+Zał.1_WPF_bazowy!#REF!</f>
        <v>#REF!</v>
      </c>
      <c r="AJ79" s="253" t="e">
        <f>+Zał.1_WPF_bazowy!#REF!</f>
        <v>#REF!</v>
      </c>
      <c r="AK79" s="253" t="e">
        <f>+Zał.1_WPF_bazowy!#REF!</f>
        <v>#REF!</v>
      </c>
      <c r="AL79" s="254" t="e">
        <f>+Zał.1_WPF_bazowy!#REF!</f>
        <v>#REF!</v>
      </c>
    </row>
    <row r="80" spans="1:253" ht="24" outlineLevel="2">
      <c r="A80" s="309"/>
      <c r="B80" s="32" t="s">
        <v>106</v>
      </c>
      <c r="C80" s="99"/>
      <c r="D80" s="375" t="s">
        <v>452</v>
      </c>
      <c r="E80" s="197">
        <f>Zał.1_WPF_bazowy!E80</f>
        <v>0</v>
      </c>
      <c r="F80" s="198">
        <f>Zał.1_WPF_bazowy!F80</f>
        <v>0</v>
      </c>
      <c r="G80" s="198">
        <f>Zał.1_WPF_bazowy!G80</f>
        <v>232602</v>
      </c>
      <c r="H80" s="251">
        <f>Zał.1_WPF_bazowy!H80</f>
        <v>232601.81</v>
      </c>
      <c r="I80" s="252">
        <f>+Zał.1_WPF_bazowy!I80</f>
        <v>2114404</v>
      </c>
      <c r="J80" s="253">
        <f>+Zał.1_WPF_bazowy!J80</f>
        <v>0</v>
      </c>
      <c r="K80" s="253">
        <f>+Zał.1_WPF_bazowy!K80</f>
        <v>0</v>
      </c>
      <c r="L80" s="253">
        <f>+Zał.1_WPF_bazowy!L80</f>
        <v>0</v>
      </c>
      <c r="M80" s="253" t="e">
        <f>+Zał.1_WPF_bazowy!#REF!</f>
        <v>#REF!</v>
      </c>
      <c r="N80" s="253" t="e">
        <f>+Zał.1_WPF_bazowy!#REF!</f>
        <v>#REF!</v>
      </c>
      <c r="O80" s="253" t="e">
        <f>+Zał.1_WPF_bazowy!#REF!</f>
        <v>#REF!</v>
      </c>
      <c r="P80" s="253" t="e">
        <f>+Zał.1_WPF_bazowy!#REF!</f>
        <v>#REF!</v>
      </c>
      <c r="Q80" s="253" t="e">
        <f>+Zał.1_WPF_bazowy!#REF!</f>
        <v>#REF!</v>
      </c>
      <c r="R80" s="253" t="e">
        <f>+Zał.1_WPF_bazowy!#REF!</f>
        <v>#REF!</v>
      </c>
      <c r="S80" s="253" t="e">
        <f>+Zał.1_WPF_bazowy!#REF!</f>
        <v>#REF!</v>
      </c>
      <c r="T80" s="253" t="e">
        <f>+Zał.1_WPF_bazowy!#REF!</f>
        <v>#REF!</v>
      </c>
      <c r="U80" s="253" t="e">
        <f>+Zał.1_WPF_bazowy!#REF!</f>
        <v>#REF!</v>
      </c>
      <c r="V80" s="253" t="e">
        <f>+Zał.1_WPF_bazowy!#REF!</f>
        <v>#REF!</v>
      </c>
      <c r="W80" s="253" t="e">
        <f>+Zał.1_WPF_bazowy!#REF!</f>
        <v>#REF!</v>
      </c>
      <c r="X80" s="253" t="e">
        <f>+Zał.1_WPF_bazowy!#REF!</f>
        <v>#REF!</v>
      </c>
      <c r="Y80" s="253" t="e">
        <f>+Zał.1_WPF_bazowy!#REF!</f>
        <v>#REF!</v>
      </c>
      <c r="Z80" s="253" t="e">
        <f>+Zał.1_WPF_bazowy!#REF!</f>
        <v>#REF!</v>
      </c>
      <c r="AA80" s="253" t="e">
        <f>+Zał.1_WPF_bazowy!#REF!</f>
        <v>#REF!</v>
      </c>
      <c r="AB80" s="253" t="e">
        <f>+Zał.1_WPF_bazowy!#REF!</f>
        <v>#REF!</v>
      </c>
      <c r="AC80" s="253" t="e">
        <f>+Zał.1_WPF_bazowy!#REF!</f>
        <v>#REF!</v>
      </c>
      <c r="AD80" s="253" t="e">
        <f>+Zał.1_WPF_bazowy!#REF!</f>
        <v>#REF!</v>
      </c>
      <c r="AE80" s="253" t="e">
        <f>+Zał.1_WPF_bazowy!#REF!</f>
        <v>#REF!</v>
      </c>
      <c r="AF80" s="253" t="e">
        <f>+Zał.1_WPF_bazowy!#REF!</f>
        <v>#REF!</v>
      </c>
      <c r="AG80" s="253" t="e">
        <f>+Zał.1_WPF_bazowy!#REF!</f>
        <v>#REF!</v>
      </c>
      <c r="AH80" s="253" t="e">
        <f>+Zał.1_WPF_bazowy!#REF!</f>
        <v>#REF!</v>
      </c>
      <c r="AI80" s="253" t="e">
        <f>+Zał.1_WPF_bazowy!#REF!</f>
        <v>#REF!</v>
      </c>
      <c r="AJ80" s="253" t="e">
        <f>+Zał.1_WPF_bazowy!#REF!</f>
        <v>#REF!</v>
      </c>
      <c r="AK80" s="253" t="e">
        <f>+Zał.1_WPF_bazowy!#REF!</f>
        <v>#REF!</v>
      </c>
      <c r="AL80" s="254" t="e">
        <f>+Zał.1_WPF_bazowy!#REF!</f>
        <v>#REF!</v>
      </c>
    </row>
    <row r="81" spans="1:38" ht="24" outlineLevel="2">
      <c r="A81" s="309"/>
      <c r="B81" s="32" t="s">
        <v>166</v>
      </c>
      <c r="C81" s="99"/>
      <c r="D81" s="294" t="s">
        <v>199</v>
      </c>
      <c r="E81" s="197">
        <f>Zał.1_WPF_bazowy!E81</f>
        <v>123162.52</v>
      </c>
      <c r="F81" s="198">
        <f>Zał.1_WPF_bazowy!F81</f>
        <v>156869.10999999999</v>
      </c>
      <c r="G81" s="198">
        <f>Zał.1_WPF_bazowy!G81</f>
        <v>145119.65</v>
      </c>
      <c r="H81" s="251">
        <f>Zał.1_WPF_bazowy!H81</f>
        <v>138833.24</v>
      </c>
      <c r="I81" s="252">
        <f>+Zał.1_WPF_bazowy!I81</f>
        <v>261432.67</v>
      </c>
      <c r="J81" s="253">
        <f>+Zał.1_WPF_bazowy!J81</f>
        <v>0</v>
      </c>
      <c r="K81" s="253">
        <f>+Zał.1_WPF_bazowy!K81</f>
        <v>0</v>
      </c>
      <c r="L81" s="253">
        <f>+Zał.1_WPF_bazowy!L81</f>
        <v>0</v>
      </c>
      <c r="M81" s="253" t="e">
        <f>+Zał.1_WPF_bazowy!#REF!</f>
        <v>#REF!</v>
      </c>
      <c r="N81" s="253" t="e">
        <f>+Zał.1_WPF_bazowy!#REF!</f>
        <v>#REF!</v>
      </c>
      <c r="O81" s="253" t="e">
        <f>+Zał.1_WPF_bazowy!#REF!</f>
        <v>#REF!</v>
      </c>
      <c r="P81" s="253" t="e">
        <f>+Zał.1_WPF_bazowy!#REF!</f>
        <v>#REF!</v>
      </c>
      <c r="Q81" s="253" t="e">
        <f>+Zał.1_WPF_bazowy!#REF!</f>
        <v>#REF!</v>
      </c>
      <c r="R81" s="253" t="e">
        <f>+Zał.1_WPF_bazowy!#REF!</f>
        <v>#REF!</v>
      </c>
      <c r="S81" s="253" t="e">
        <f>+Zał.1_WPF_bazowy!#REF!</f>
        <v>#REF!</v>
      </c>
      <c r="T81" s="253" t="e">
        <f>+Zał.1_WPF_bazowy!#REF!</f>
        <v>#REF!</v>
      </c>
      <c r="U81" s="253" t="e">
        <f>+Zał.1_WPF_bazowy!#REF!</f>
        <v>#REF!</v>
      </c>
      <c r="V81" s="253" t="e">
        <f>+Zał.1_WPF_bazowy!#REF!</f>
        <v>#REF!</v>
      </c>
      <c r="W81" s="253" t="e">
        <f>+Zał.1_WPF_bazowy!#REF!</f>
        <v>#REF!</v>
      </c>
      <c r="X81" s="253" t="e">
        <f>+Zał.1_WPF_bazowy!#REF!</f>
        <v>#REF!</v>
      </c>
      <c r="Y81" s="253" t="e">
        <f>+Zał.1_WPF_bazowy!#REF!</f>
        <v>#REF!</v>
      </c>
      <c r="Z81" s="253" t="e">
        <f>+Zał.1_WPF_bazowy!#REF!</f>
        <v>#REF!</v>
      </c>
      <c r="AA81" s="253" t="e">
        <f>+Zał.1_WPF_bazowy!#REF!</f>
        <v>#REF!</v>
      </c>
      <c r="AB81" s="253" t="e">
        <f>+Zał.1_WPF_bazowy!#REF!</f>
        <v>#REF!</v>
      </c>
      <c r="AC81" s="253" t="e">
        <f>+Zał.1_WPF_bazowy!#REF!</f>
        <v>#REF!</v>
      </c>
      <c r="AD81" s="253" t="e">
        <f>+Zał.1_WPF_bazowy!#REF!</f>
        <v>#REF!</v>
      </c>
      <c r="AE81" s="253" t="e">
        <f>+Zał.1_WPF_bazowy!#REF!</f>
        <v>#REF!</v>
      </c>
      <c r="AF81" s="253" t="e">
        <f>+Zał.1_WPF_bazowy!#REF!</f>
        <v>#REF!</v>
      </c>
      <c r="AG81" s="253" t="e">
        <f>+Zał.1_WPF_bazowy!#REF!</f>
        <v>#REF!</v>
      </c>
      <c r="AH81" s="253" t="e">
        <f>+Zał.1_WPF_bazowy!#REF!</f>
        <v>#REF!</v>
      </c>
      <c r="AI81" s="253" t="e">
        <f>+Zał.1_WPF_bazowy!#REF!</f>
        <v>#REF!</v>
      </c>
      <c r="AJ81" s="253" t="e">
        <f>+Zał.1_WPF_bazowy!#REF!</f>
        <v>#REF!</v>
      </c>
      <c r="AK81" s="253" t="e">
        <f>+Zał.1_WPF_bazowy!#REF!</f>
        <v>#REF!</v>
      </c>
      <c r="AL81" s="254" t="e">
        <f>+Zał.1_WPF_bazowy!#REF!</f>
        <v>#REF!</v>
      </c>
    </row>
    <row r="82" spans="1:38" outlineLevel="2">
      <c r="A82" s="309"/>
      <c r="B82" s="32" t="s">
        <v>109</v>
      </c>
      <c r="C82" s="99"/>
      <c r="D82" s="376" t="s">
        <v>473</v>
      </c>
      <c r="E82" s="197">
        <f>Zał.1_WPF_bazowy!E82</f>
        <v>104205.63</v>
      </c>
      <c r="F82" s="198">
        <f>Zał.1_WPF_bazowy!F82</f>
        <v>133542.57999999999</v>
      </c>
      <c r="G82" s="198">
        <f>Zał.1_WPF_bazowy!G82</f>
        <v>123351.7</v>
      </c>
      <c r="H82" s="251">
        <f>Zał.1_WPF_bazowy!H82</f>
        <v>120259.63</v>
      </c>
      <c r="I82" s="252">
        <f>+Zał.1_WPF_bazowy!I82</f>
        <v>222217.77</v>
      </c>
      <c r="J82" s="253">
        <f>+Zał.1_WPF_bazowy!J82</f>
        <v>0</v>
      </c>
      <c r="K82" s="253">
        <f>+Zał.1_WPF_bazowy!K82</f>
        <v>0</v>
      </c>
      <c r="L82" s="253">
        <f>+Zał.1_WPF_bazowy!L82</f>
        <v>0</v>
      </c>
      <c r="M82" s="253" t="e">
        <f>+Zał.1_WPF_bazowy!#REF!</f>
        <v>#REF!</v>
      </c>
      <c r="N82" s="253" t="e">
        <f>+Zał.1_WPF_bazowy!#REF!</f>
        <v>#REF!</v>
      </c>
      <c r="O82" s="253" t="e">
        <f>+Zał.1_WPF_bazowy!#REF!</f>
        <v>#REF!</v>
      </c>
      <c r="P82" s="253" t="e">
        <f>+Zał.1_WPF_bazowy!#REF!</f>
        <v>#REF!</v>
      </c>
      <c r="Q82" s="253" t="e">
        <f>+Zał.1_WPF_bazowy!#REF!</f>
        <v>#REF!</v>
      </c>
      <c r="R82" s="253" t="e">
        <f>+Zał.1_WPF_bazowy!#REF!</f>
        <v>#REF!</v>
      </c>
      <c r="S82" s="253" t="e">
        <f>+Zał.1_WPF_bazowy!#REF!</f>
        <v>#REF!</v>
      </c>
      <c r="T82" s="253" t="e">
        <f>+Zał.1_WPF_bazowy!#REF!</f>
        <v>#REF!</v>
      </c>
      <c r="U82" s="253" t="e">
        <f>+Zał.1_WPF_bazowy!#REF!</f>
        <v>#REF!</v>
      </c>
      <c r="V82" s="253" t="e">
        <f>+Zał.1_WPF_bazowy!#REF!</f>
        <v>#REF!</v>
      </c>
      <c r="W82" s="253" t="e">
        <f>+Zał.1_WPF_bazowy!#REF!</f>
        <v>#REF!</v>
      </c>
      <c r="X82" s="253" t="e">
        <f>+Zał.1_WPF_bazowy!#REF!</f>
        <v>#REF!</v>
      </c>
      <c r="Y82" s="253" t="e">
        <f>+Zał.1_WPF_bazowy!#REF!</f>
        <v>#REF!</v>
      </c>
      <c r="Z82" s="253" t="e">
        <f>+Zał.1_WPF_bazowy!#REF!</f>
        <v>#REF!</v>
      </c>
      <c r="AA82" s="253" t="e">
        <f>+Zał.1_WPF_bazowy!#REF!</f>
        <v>#REF!</v>
      </c>
      <c r="AB82" s="253" t="e">
        <f>+Zał.1_WPF_bazowy!#REF!</f>
        <v>#REF!</v>
      </c>
      <c r="AC82" s="253" t="e">
        <f>+Zał.1_WPF_bazowy!#REF!</f>
        <v>#REF!</v>
      </c>
      <c r="AD82" s="253" t="e">
        <f>+Zał.1_WPF_bazowy!#REF!</f>
        <v>#REF!</v>
      </c>
      <c r="AE82" s="253" t="e">
        <f>+Zał.1_WPF_bazowy!#REF!</f>
        <v>#REF!</v>
      </c>
      <c r="AF82" s="253" t="e">
        <f>+Zał.1_WPF_bazowy!#REF!</f>
        <v>#REF!</v>
      </c>
      <c r="AG82" s="253" t="e">
        <f>+Zał.1_WPF_bazowy!#REF!</f>
        <v>#REF!</v>
      </c>
      <c r="AH82" s="253" t="e">
        <f>+Zał.1_WPF_bazowy!#REF!</f>
        <v>#REF!</v>
      </c>
      <c r="AI82" s="253" t="e">
        <f>+Zał.1_WPF_bazowy!#REF!</f>
        <v>#REF!</v>
      </c>
      <c r="AJ82" s="253" t="e">
        <f>+Zał.1_WPF_bazowy!#REF!</f>
        <v>#REF!</v>
      </c>
      <c r="AK82" s="253" t="e">
        <f>+Zał.1_WPF_bazowy!#REF!</f>
        <v>#REF!</v>
      </c>
      <c r="AL82" s="254" t="e">
        <f>+Zał.1_WPF_bazowy!#REF!</f>
        <v>#REF!</v>
      </c>
    </row>
    <row r="83" spans="1:38" ht="24" outlineLevel="2">
      <c r="A83" s="309"/>
      <c r="B83" s="32" t="s">
        <v>111</v>
      </c>
      <c r="C83" s="99"/>
      <c r="D83" s="295" t="s">
        <v>200</v>
      </c>
      <c r="E83" s="197">
        <f>Zał.1_WPF_bazowy!E83</f>
        <v>0</v>
      </c>
      <c r="F83" s="198">
        <f>Zał.1_WPF_bazowy!F83</f>
        <v>0</v>
      </c>
      <c r="G83" s="198">
        <f>Zał.1_WPF_bazowy!G83</f>
        <v>145119.65</v>
      </c>
      <c r="H83" s="251">
        <f>Zał.1_WPF_bazowy!H83</f>
        <v>138833.24</v>
      </c>
      <c r="I83" s="252">
        <f>+Zał.1_WPF_bazowy!I83</f>
        <v>261432.67</v>
      </c>
      <c r="J83" s="253">
        <f>+Zał.1_WPF_bazowy!J83</f>
        <v>0</v>
      </c>
      <c r="K83" s="253">
        <f>+Zał.1_WPF_bazowy!K83</f>
        <v>0</v>
      </c>
      <c r="L83" s="253">
        <f>+Zał.1_WPF_bazowy!L83</f>
        <v>0</v>
      </c>
      <c r="M83" s="253" t="e">
        <f>+Zał.1_WPF_bazowy!#REF!</f>
        <v>#REF!</v>
      </c>
      <c r="N83" s="253" t="e">
        <f>+Zał.1_WPF_bazowy!#REF!</f>
        <v>#REF!</v>
      </c>
      <c r="O83" s="253" t="e">
        <f>+Zał.1_WPF_bazowy!#REF!</f>
        <v>#REF!</v>
      </c>
      <c r="P83" s="253" t="e">
        <f>+Zał.1_WPF_bazowy!#REF!</f>
        <v>#REF!</v>
      </c>
      <c r="Q83" s="253" t="e">
        <f>+Zał.1_WPF_bazowy!#REF!</f>
        <v>#REF!</v>
      </c>
      <c r="R83" s="253" t="e">
        <f>+Zał.1_WPF_bazowy!#REF!</f>
        <v>#REF!</v>
      </c>
      <c r="S83" s="253" t="e">
        <f>+Zał.1_WPF_bazowy!#REF!</f>
        <v>#REF!</v>
      </c>
      <c r="T83" s="253" t="e">
        <f>+Zał.1_WPF_bazowy!#REF!</f>
        <v>#REF!</v>
      </c>
      <c r="U83" s="253" t="e">
        <f>+Zał.1_WPF_bazowy!#REF!</f>
        <v>#REF!</v>
      </c>
      <c r="V83" s="253" t="e">
        <f>+Zał.1_WPF_bazowy!#REF!</f>
        <v>#REF!</v>
      </c>
      <c r="W83" s="253" t="e">
        <f>+Zał.1_WPF_bazowy!#REF!</f>
        <v>#REF!</v>
      </c>
      <c r="X83" s="253" t="e">
        <f>+Zał.1_WPF_bazowy!#REF!</f>
        <v>#REF!</v>
      </c>
      <c r="Y83" s="253" t="e">
        <f>+Zał.1_WPF_bazowy!#REF!</f>
        <v>#REF!</v>
      </c>
      <c r="Z83" s="253" t="e">
        <f>+Zał.1_WPF_bazowy!#REF!</f>
        <v>#REF!</v>
      </c>
      <c r="AA83" s="253" t="e">
        <f>+Zał.1_WPF_bazowy!#REF!</f>
        <v>#REF!</v>
      </c>
      <c r="AB83" s="253" t="e">
        <f>+Zał.1_WPF_bazowy!#REF!</f>
        <v>#REF!</v>
      </c>
      <c r="AC83" s="253" t="e">
        <f>+Zał.1_WPF_bazowy!#REF!</f>
        <v>#REF!</v>
      </c>
      <c r="AD83" s="253" t="e">
        <f>+Zał.1_WPF_bazowy!#REF!</f>
        <v>#REF!</v>
      </c>
      <c r="AE83" s="253" t="e">
        <f>+Zał.1_WPF_bazowy!#REF!</f>
        <v>#REF!</v>
      </c>
      <c r="AF83" s="253" t="e">
        <f>+Zał.1_WPF_bazowy!#REF!</f>
        <v>#REF!</v>
      </c>
      <c r="AG83" s="253" t="e">
        <f>+Zał.1_WPF_bazowy!#REF!</f>
        <v>#REF!</v>
      </c>
      <c r="AH83" s="253" t="e">
        <f>+Zał.1_WPF_bazowy!#REF!</f>
        <v>#REF!</v>
      </c>
      <c r="AI83" s="253" t="e">
        <f>+Zał.1_WPF_bazowy!#REF!</f>
        <v>#REF!</v>
      </c>
      <c r="AJ83" s="253" t="e">
        <f>+Zał.1_WPF_bazowy!#REF!</f>
        <v>#REF!</v>
      </c>
      <c r="AK83" s="253" t="e">
        <f>+Zał.1_WPF_bazowy!#REF!</f>
        <v>#REF!</v>
      </c>
      <c r="AL83" s="254" t="e">
        <f>+Zał.1_WPF_bazowy!#REF!</f>
        <v>#REF!</v>
      </c>
    </row>
    <row r="84" spans="1:38" ht="24" outlineLevel="2">
      <c r="A84" s="309"/>
      <c r="B84" s="32" t="s">
        <v>167</v>
      </c>
      <c r="C84" s="99"/>
      <c r="D84" s="294" t="s">
        <v>201</v>
      </c>
      <c r="E84" s="197">
        <f>Zał.1_WPF_bazowy!E84</f>
        <v>650923.96</v>
      </c>
      <c r="F84" s="198">
        <f>Zał.1_WPF_bazowy!F84</f>
        <v>562105.4</v>
      </c>
      <c r="G84" s="198">
        <f>Zał.1_WPF_bazowy!G84</f>
        <v>3401517</v>
      </c>
      <c r="H84" s="251">
        <f>Zał.1_WPF_bazowy!H84</f>
        <v>3180695.36</v>
      </c>
      <c r="I84" s="252">
        <f>+Zał.1_WPF_bazowy!I84</f>
        <v>0</v>
      </c>
      <c r="J84" s="253">
        <f>+Zał.1_WPF_bazowy!J84</f>
        <v>0</v>
      </c>
      <c r="K84" s="253">
        <f>+Zał.1_WPF_bazowy!K84</f>
        <v>0</v>
      </c>
      <c r="L84" s="253">
        <f>+Zał.1_WPF_bazowy!L84</f>
        <v>0</v>
      </c>
      <c r="M84" s="253" t="e">
        <f>+Zał.1_WPF_bazowy!#REF!</f>
        <v>#REF!</v>
      </c>
      <c r="N84" s="253" t="e">
        <f>+Zał.1_WPF_bazowy!#REF!</f>
        <v>#REF!</v>
      </c>
      <c r="O84" s="253" t="e">
        <f>+Zał.1_WPF_bazowy!#REF!</f>
        <v>#REF!</v>
      </c>
      <c r="P84" s="253" t="e">
        <f>+Zał.1_WPF_bazowy!#REF!</f>
        <v>#REF!</v>
      </c>
      <c r="Q84" s="253" t="e">
        <f>+Zał.1_WPF_bazowy!#REF!</f>
        <v>#REF!</v>
      </c>
      <c r="R84" s="253" t="e">
        <f>+Zał.1_WPF_bazowy!#REF!</f>
        <v>#REF!</v>
      </c>
      <c r="S84" s="253" t="e">
        <f>+Zał.1_WPF_bazowy!#REF!</f>
        <v>#REF!</v>
      </c>
      <c r="T84" s="253" t="e">
        <f>+Zał.1_WPF_bazowy!#REF!</f>
        <v>#REF!</v>
      </c>
      <c r="U84" s="253" t="e">
        <f>+Zał.1_WPF_bazowy!#REF!</f>
        <v>#REF!</v>
      </c>
      <c r="V84" s="253" t="e">
        <f>+Zał.1_WPF_bazowy!#REF!</f>
        <v>#REF!</v>
      </c>
      <c r="W84" s="253" t="e">
        <f>+Zał.1_WPF_bazowy!#REF!</f>
        <v>#REF!</v>
      </c>
      <c r="X84" s="253" t="e">
        <f>+Zał.1_WPF_bazowy!#REF!</f>
        <v>#REF!</v>
      </c>
      <c r="Y84" s="253" t="e">
        <f>+Zał.1_WPF_bazowy!#REF!</f>
        <v>#REF!</v>
      </c>
      <c r="Z84" s="253" t="e">
        <f>+Zał.1_WPF_bazowy!#REF!</f>
        <v>#REF!</v>
      </c>
      <c r="AA84" s="253" t="e">
        <f>+Zał.1_WPF_bazowy!#REF!</f>
        <v>#REF!</v>
      </c>
      <c r="AB84" s="253" t="e">
        <f>+Zał.1_WPF_bazowy!#REF!</f>
        <v>#REF!</v>
      </c>
      <c r="AC84" s="253" t="e">
        <f>+Zał.1_WPF_bazowy!#REF!</f>
        <v>#REF!</v>
      </c>
      <c r="AD84" s="253" t="e">
        <f>+Zał.1_WPF_bazowy!#REF!</f>
        <v>#REF!</v>
      </c>
      <c r="AE84" s="253" t="e">
        <f>+Zał.1_WPF_bazowy!#REF!</f>
        <v>#REF!</v>
      </c>
      <c r="AF84" s="253" t="e">
        <f>+Zał.1_WPF_bazowy!#REF!</f>
        <v>#REF!</v>
      </c>
      <c r="AG84" s="253" t="e">
        <f>+Zał.1_WPF_bazowy!#REF!</f>
        <v>#REF!</v>
      </c>
      <c r="AH84" s="253" t="e">
        <f>+Zał.1_WPF_bazowy!#REF!</f>
        <v>#REF!</v>
      </c>
      <c r="AI84" s="253" t="e">
        <f>+Zał.1_WPF_bazowy!#REF!</f>
        <v>#REF!</v>
      </c>
      <c r="AJ84" s="253" t="e">
        <f>+Zał.1_WPF_bazowy!#REF!</f>
        <v>#REF!</v>
      </c>
      <c r="AK84" s="253" t="e">
        <f>+Zał.1_WPF_bazowy!#REF!</f>
        <v>#REF!</v>
      </c>
      <c r="AL84" s="254" t="e">
        <f>+Zał.1_WPF_bazowy!#REF!</f>
        <v>#REF!</v>
      </c>
    </row>
    <row r="85" spans="1:38" outlineLevel="2">
      <c r="A85" s="309"/>
      <c r="B85" s="32" t="s">
        <v>114</v>
      </c>
      <c r="C85" s="99"/>
      <c r="D85" s="376" t="s">
        <v>472</v>
      </c>
      <c r="E85" s="197">
        <f>Zał.1_WPF_bazowy!E85</f>
        <v>650923.96</v>
      </c>
      <c r="F85" s="198">
        <f>Zał.1_WPF_bazowy!F85</f>
        <v>220814.52</v>
      </c>
      <c r="G85" s="198">
        <f>Zał.1_WPF_bazowy!G85</f>
        <v>3401517</v>
      </c>
      <c r="H85" s="251">
        <f>Zał.1_WPF_bazowy!H85</f>
        <v>3180695.36</v>
      </c>
      <c r="I85" s="252">
        <f>+Zał.1_WPF_bazowy!I85</f>
        <v>0</v>
      </c>
      <c r="J85" s="253">
        <f>+Zał.1_WPF_bazowy!J85</f>
        <v>0</v>
      </c>
      <c r="K85" s="253">
        <f>+Zał.1_WPF_bazowy!K85</f>
        <v>0</v>
      </c>
      <c r="L85" s="253">
        <f>+Zał.1_WPF_bazowy!L85</f>
        <v>0</v>
      </c>
      <c r="M85" s="253" t="e">
        <f>+Zał.1_WPF_bazowy!#REF!</f>
        <v>#REF!</v>
      </c>
      <c r="N85" s="253" t="e">
        <f>+Zał.1_WPF_bazowy!#REF!</f>
        <v>#REF!</v>
      </c>
      <c r="O85" s="253" t="e">
        <f>+Zał.1_WPF_bazowy!#REF!</f>
        <v>#REF!</v>
      </c>
      <c r="P85" s="253" t="e">
        <f>+Zał.1_WPF_bazowy!#REF!</f>
        <v>#REF!</v>
      </c>
      <c r="Q85" s="253" t="e">
        <f>+Zał.1_WPF_bazowy!#REF!</f>
        <v>#REF!</v>
      </c>
      <c r="R85" s="253" t="e">
        <f>+Zał.1_WPF_bazowy!#REF!</f>
        <v>#REF!</v>
      </c>
      <c r="S85" s="253" t="e">
        <f>+Zał.1_WPF_bazowy!#REF!</f>
        <v>#REF!</v>
      </c>
      <c r="T85" s="253" t="e">
        <f>+Zał.1_WPF_bazowy!#REF!</f>
        <v>#REF!</v>
      </c>
      <c r="U85" s="253" t="e">
        <f>+Zał.1_WPF_bazowy!#REF!</f>
        <v>#REF!</v>
      </c>
      <c r="V85" s="253" t="e">
        <f>+Zał.1_WPF_bazowy!#REF!</f>
        <v>#REF!</v>
      </c>
      <c r="W85" s="253" t="e">
        <f>+Zał.1_WPF_bazowy!#REF!</f>
        <v>#REF!</v>
      </c>
      <c r="X85" s="253" t="e">
        <f>+Zał.1_WPF_bazowy!#REF!</f>
        <v>#REF!</v>
      </c>
      <c r="Y85" s="253" t="e">
        <f>+Zał.1_WPF_bazowy!#REF!</f>
        <v>#REF!</v>
      </c>
      <c r="Z85" s="253" t="e">
        <f>+Zał.1_WPF_bazowy!#REF!</f>
        <v>#REF!</v>
      </c>
      <c r="AA85" s="253" t="e">
        <f>+Zał.1_WPF_bazowy!#REF!</f>
        <v>#REF!</v>
      </c>
      <c r="AB85" s="253" t="e">
        <f>+Zał.1_WPF_bazowy!#REF!</f>
        <v>#REF!</v>
      </c>
      <c r="AC85" s="253" t="e">
        <f>+Zał.1_WPF_bazowy!#REF!</f>
        <v>#REF!</v>
      </c>
      <c r="AD85" s="253" t="e">
        <f>+Zał.1_WPF_bazowy!#REF!</f>
        <v>#REF!</v>
      </c>
      <c r="AE85" s="253" t="e">
        <f>+Zał.1_WPF_bazowy!#REF!</f>
        <v>#REF!</v>
      </c>
      <c r="AF85" s="253" t="e">
        <f>+Zał.1_WPF_bazowy!#REF!</f>
        <v>#REF!</v>
      </c>
      <c r="AG85" s="253" t="e">
        <f>+Zał.1_WPF_bazowy!#REF!</f>
        <v>#REF!</v>
      </c>
      <c r="AH85" s="253" t="e">
        <f>+Zał.1_WPF_bazowy!#REF!</f>
        <v>#REF!</v>
      </c>
      <c r="AI85" s="253" t="e">
        <f>+Zał.1_WPF_bazowy!#REF!</f>
        <v>#REF!</v>
      </c>
      <c r="AJ85" s="253" t="e">
        <f>+Zał.1_WPF_bazowy!#REF!</f>
        <v>#REF!</v>
      </c>
      <c r="AK85" s="253" t="e">
        <f>+Zał.1_WPF_bazowy!#REF!</f>
        <v>#REF!</v>
      </c>
      <c r="AL85" s="254" t="e">
        <f>+Zał.1_WPF_bazowy!#REF!</f>
        <v>#REF!</v>
      </c>
    </row>
    <row r="86" spans="1:38" ht="24" outlineLevel="2">
      <c r="A86" s="309"/>
      <c r="B86" s="32" t="s">
        <v>116</v>
      </c>
      <c r="C86" s="99"/>
      <c r="D86" s="295" t="s">
        <v>202</v>
      </c>
      <c r="E86" s="197">
        <f>Zał.1_WPF_bazowy!E86</f>
        <v>0</v>
      </c>
      <c r="F86" s="198">
        <f>Zał.1_WPF_bazowy!F86</f>
        <v>0</v>
      </c>
      <c r="G86" s="198">
        <f>Zał.1_WPF_bazowy!G86</f>
        <v>1590835.04</v>
      </c>
      <c r="H86" s="251">
        <f>Zał.1_WPF_bazowy!H86</f>
        <v>2074095.36</v>
      </c>
      <c r="I86" s="252">
        <f>+Zał.1_WPF_bazowy!I86</f>
        <v>0</v>
      </c>
      <c r="J86" s="253">
        <f>+Zał.1_WPF_bazowy!J86</f>
        <v>0</v>
      </c>
      <c r="K86" s="253">
        <f>+Zał.1_WPF_bazowy!K86</f>
        <v>0</v>
      </c>
      <c r="L86" s="253">
        <f>+Zał.1_WPF_bazowy!L86</f>
        <v>0</v>
      </c>
      <c r="M86" s="253" t="e">
        <f>+Zał.1_WPF_bazowy!#REF!</f>
        <v>#REF!</v>
      </c>
      <c r="N86" s="253" t="e">
        <f>+Zał.1_WPF_bazowy!#REF!</f>
        <v>#REF!</v>
      </c>
      <c r="O86" s="253" t="e">
        <f>+Zał.1_WPF_bazowy!#REF!</f>
        <v>#REF!</v>
      </c>
      <c r="P86" s="253" t="e">
        <f>+Zał.1_WPF_bazowy!#REF!</f>
        <v>#REF!</v>
      </c>
      <c r="Q86" s="253" t="e">
        <f>+Zał.1_WPF_bazowy!#REF!</f>
        <v>#REF!</v>
      </c>
      <c r="R86" s="253" t="e">
        <f>+Zał.1_WPF_bazowy!#REF!</f>
        <v>#REF!</v>
      </c>
      <c r="S86" s="253" t="e">
        <f>+Zał.1_WPF_bazowy!#REF!</f>
        <v>#REF!</v>
      </c>
      <c r="T86" s="253" t="e">
        <f>+Zał.1_WPF_bazowy!#REF!</f>
        <v>#REF!</v>
      </c>
      <c r="U86" s="253" t="e">
        <f>+Zał.1_WPF_bazowy!#REF!</f>
        <v>#REF!</v>
      </c>
      <c r="V86" s="253" t="e">
        <f>+Zał.1_WPF_bazowy!#REF!</f>
        <v>#REF!</v>
      </c>
      <c r="W86" s="253" t="e">
        <f>+Zał.1_WPF_bazowy!#REF!</f>
        <v>#REF!</v>
      </c>
      <c r="X86" s="253" t="e">
        <f>+Zał.1_WPF_bazowy!#REF!</f>
        <v>#REF!</v>
      </c>
      <c r="Y86" s="253" t="e">
        <f>+Zał.1_WPF_bazowy!#REF!</f>
        <v>#REF!</v>
      </c>
      <c r="Z86" s="253" t="e">
        <f>+Zał.1_WPF_bazowy!#REF!</f>
        <v>#REF!</v>
      </c>
      <c r="AA86" s="253" t="e">
        <f>+Zał.1_WPF_bazowy!#REF!</f>
        <v>#REF!</v>
      </c>
      <c r="AB86" s="253" t="e">
        <f>+Zał.1_WPF_bazowy!#REF!</f>
        <v>#REF!</v>
      </c>
      <c r="AC86" s="253" t="e">
        <f>+Zał.1_WPF_bazowy!#REF!</f>
        <v>#REF!</v>
      </c>
      <c r="AD86" s="253" t="e">
        <f>+Zał.1_WPF_bazowy!#REF!</f>
        <v>#REF!</v>
      </c>
      <c r="AE86" s="253" t="e">
        <f>+Zał.1_WPF_bazowy!#REF!</f>
        <v>#REF!</v>
      </c>
      <c r="AF86" s="253" t="e">
        <f>+Zał.1_WPF_bazowy!#REF!</f>
        <v>#REF!</v>
      </c>
      <c r="AG86" s="253" t="e">
        <f>+Zał.1_WPF_bazowy!#REF!</f>
        <v>#REF!</v>
      </c>
      <c r="AH86" s="253" t="e">
        <f>+Zał.1_WPF_bazowy!#REF!</f>
        <v>#REF!</v>
      </c>
      <c r="AI86" s="253" t="e">
        <f>+Zał.1_WPF_bazowy!#REF!</f>
        <v>#REF!</v>
      </c>
      <c r="AJ86" s="253" t="e">
        <f>+Zał.1_WPF_bazowy!#REF!</f>
        <v>#REF!</v>
      </c>
      <c r="AK86" s="253" t="e">
        <f>+Zał.1_WPF_bazowy!#REF!</f>
        <v>#REF!</v>
      </c>
      <c r="AL86" s="254" t="e">
        <f>+Zał.1_WPF_bazowy!#REF!</f>
        <v>#REF!</v>
      </c>
    </row>
    <row r="87" spans="1:38" ht="36" outlineLevel="2">
      <c r="A87" s="309"/>
      <c r="B87" s="32" t="s">
        <v>403</v>
      </c>
      <c r="C87" s="99"/>
      <c r="D87" s="294" t="s">
        <v>471</v>
      </c>
      <c r="E87" s="197">
        <f>Zał.1_WPF_bazowy!E87</f>
        <v>0</v>
      </c>
      <c r="F87" s="198">
        <f>Zał.1_WPF_bazowy!F87</f>
        <v>0</v>
      </c>
      <c r="G87" s="198">
        <f>Zał.1_WPF_bazowy!G87</f>
        <v>0</v>
      </c>
      <c r="H87" s="251">
        <f>Zał.1_WPF_bazowy!H87</f>
        <v>0</v>
      </c>
      <c r="I87" s="252">
        <f>+Zał.1_WPF_bazowy!I87</f>
        <v>0</v>
      </c>
      <c r="J87" s="253">
        <f>+Zał.1_WPF_bazowy!J87</f>
        <v>0</v>
      </c>
      <c r="K87" s="253">
        <f>+Zał.1_WPF_bazowy!K87</f>
        <v>0</v>
      </c>
      <c r="L87" s="253">
        <f>+Zał.1_WPF_bazowy!L87</f>
        <v>0</v>
      </c>
      <c r="M87" s="253" t="e">
        <f>+Zał.1_WPF_bazowy!#REF!</f>
        <v>#REF!</v>
      </c>
      <c r="N87" s="253" t="e">
        <f>+Zał.1_WPF_bazowy!#REF!</f>
        <v>#REF!</v>
      </c>
      <c r="O87" s="253" t="e">
        <f>+Zał.1_WPF_bazowy!#REF!</f>
        <v>#REF!</v>
      </c>
      <c r="P87" s="253" t="e">
        <f>+Zał.1_WPF_bazowy!#REF!</f>
        <v>#REF!</v>
      </c>
      <c r="Q87" s="253" t="e">
        <f>+Zał.1_WPF_bazowy!#REF!</f>
        <v>#REF!</v>
      </c>
      <c r="R87" s="253" t="e">
        <f>+Zał.1_WPF_bazowy!#REF!</f>
        <v>#REF!</v>
      </c>
      <c r="S87" s="253" t="e">
        <f>+Zał.1_WPF_bazowy!#REF!</f>
        <v>#REF!</v>
      </c>
      <c r="T87" s="253" t="e">
        <f>+Zał.1_WPF_bazowy!#REF!</f>
        <v>#REF!</v>
      </c>
      <c r="U87" s="253" t="e">
        <f>+Zał.1_WPF_bazowy!#REF!</f>
        <v>#REF!</v>
      </c>
      <c r="V87" s="253" t="e">
        <f>+Zał.1_WPF_bazowy!#REF!</f>
        <v>#REF!</v>
      </c>
      <c r="W87" s="253" t="e">
        <f>+Zał.1_WPF_bazowy!#REF!</f>
        <v>#REF!</v>
      </c>
      <c r="X87" s="253" t="e">
        <f>+Zał.1_WPF_bazowy!#REF!</f>
        <v>#REF!</v>
      </c>
      <c r="Y87" s="253" t="e">
        <f>+Zał.1_WPF_bazowy!#REF!</f>
        <v>#REF!</v>
      </c>
      <c r="Z87" s="253" t="e">
        <f>+Zał.1_WPF_bazowy!#REF!</f>
        <v>#REF!</v>
      </c>
      <c r="AA87" s="253" t="e">
        <f>+Zał.1_WPF_bazowy!#REF!</f>
        <v>#REF!</v>
      </c>
      <c r="AB87" s="253" t="e">
        <f>+Zał.1_WPF_bazowy!#REF!</f>
        <v>#REF!</v>
      </c>
      <c r="AC87" s="253" t="e">
        <f>+Zał.1_WPF_bazowy!#REF!</f>
        <v>#REF!</v>
      </c>
      <c r="AD87" s="253" t="e">
        <f>+Zał.1_WPF_bazowy!#REF!</f>
        <v>#REF!</v>
      </c>
      <c r="AE87" s="253" t="e">
        <f>+Zał.1_WPF_bazowy!#REF!</f>
        <v>#REF!</v>
      </c>
      <c r="AF87" s="253" t="e">
        <f>+Zał.1_WPF_bazowy!#REF!</f>
        <v>#REF!</v>
      </c>
      <c r="AG87" s="253" t="e">
        <f>+Zał.1_WPF_bazowy!#REF!</f>
        <v>#REF!</v>
      </c>
      <c r="AH87" s="253" t="e">
        <f>+Zał.1_WPF_bazowy!#REF!</f>
        <v>#REF!</v>
      </c>
      <c r="AI87" s="253" t="e">
        <f>+Zał.1_WPF_bazowy!#REF!</f>
        <v>#REF!</v>
      </c>
      <c r="AJ87" s="253" t="e">
        <f>+Zał.1_WPF_bazowy!#REF!</f>
        <v>#REF!</v>
      </c>
      <c r="AK87" s="253" t="e">
        <f>+Zał.1_WPF_bazowy!#REF!</f>
        <v>#REF!</v>
      </c>
      <c r="AL87" s="254" t="e">
        <f>+Zał.1_WPF_bazowy!#REF!</f>
        <v>#REF!</v>
      </c>
    </row>
    <row r="88" spans="1:38" outlineLevel="2">
      <c r="A88" s="309"/>
      <c r="B88" s="32" t="s">
        <v>405</v>
      </c>
      <c r="C88" s="99"/>
      <c r="D88" s="295" t="s">
        <v>456</v>
      </c>
      <c r="E88" s="197">
        <f>Zał.1_WPF_bazowy!E88</f>
        <v>0</v>
      </c>
      <c r="F88" s="198">
        <f>Zał.1_WPF_bazowy!F88</f>
        <v>0</v>
      </c>
      <c r="G88" s="198">
        <f>Zał.1_WPF_bazowy!G88</f>
        <v>0</v>
      </c>
      <c r="H88" s="251">
        <f>Zał.1_WPF_bazowy!H88</f>
        <v>0</v>
      </c>
      <c r="I88" s="252">
        <f>+Zał.1_WPF_bazowy!I88</f>
        <v>0</v>
      </c>
      <c r="J88" s="253">
        <f>+Zał.1_WPF_bazowy!J88</f>
        <v>0</v>
      </c>
      <c r="K88" s="253">
        <f>+Zał.1_WPF_bazowy!K88</f>
        <v>0</v>
      </c>
      <c r="L88" s="253">
        <f>+Zał.1_WPF_bazowy!L88</f>
        <v>0</v>
      </c>
      <c r="M88" s="253" t="e">
        <f>+Zał.1_WPF_bazowy!#REF!</f>
        <v>#REF!</v>
      </c>
      <c r="N88" s="253" t="e">
        <f>+Zał.1_WPF_bazowy!#REF!</f>
        <v>#REF!</v>
      </c>
      <c r="O88" s="253" t="e">
        <f>+Zał.1_WPF_bazowy!#REF!</f>
        <v>#REF!</v>
      </c>
      <c r="P88" s="253" t="e">
        <f>+Zał.1_WPF_bazowy!#REF!</f>
        <v>#REF!</v>
      </c>
      <c r="Q88" s="253" t="e">
        <f>+Zał.1_WPF_bazowy!#REF!</f>
        <v>#REF!</v>
      </c>
      <c r="R88" s="253" t="e">
        <f>+Zał.1_WPF_bazowy!#REF!</f>
        <v>#REF!</v>
      </c>
      <c r="S88" s="253" t="e">
        <f>+Zał.1_WPF_bazowy!#REF!</f>
        <v>#REF!</v>
      </c>
      <c r="T88" s="253" t="e">
        <f>+Zał.1_WPF_bazowy!#REF!</f>
        <v>#REF!</v>
      </c>
      <c r="U88" s="253" t="e">
        <f>+Zał.1_WPF_bazowy!#REF!</f>
        <v>#REF!</v>
      </c>
      <c r="V88" s="253" t="e">
        <f>+Zał.1_WPF_bazowy!#REF!</f>
        <v>#REF!</v>
      </c>
      <c r="W88" s="253" t="e">
        <f>+Zał.1_WPF_bazowy!#REF!</f>
        <v>#REF!</v>
      </c>
      <c r="X88" s="253" t="e">
        <f>+Zał.1_WPF_bazowy!#REF!</f>
        <v>#REF!</v>
      </c>
      <c r="Y88" s="253" t="e">
        <f>+Zał.1_WPF_bazowy!#REF!</f>
        <v>#REF!</v>
      </c>
      <c r="Z88" s="253" t="e">
        <f>+Zał.1_WPF_bazowy!#REF!</f>
        <v>#REF!</v>
      </c>
      <c r="AA88" s="253" t="e">
        <f>+Zał.1_WPF_bazowy!#REF!</f>
        <v>#REF!</v>
      </c>
      <c r="AB88" s="253" t="e">
        <f>+Zał.1_WPF_bazowy!#REF!</f>
        <v>#REF!</v>
      </c>
      <c r="AC88" s="253" t="e">
        <f>+Zał.1_WPF_bazowy!#REF!</f>
        <v>#REF!</v>
      </c>
      <c r="AD88" s="253" t="e">
        <f>+Zał.1_WPF_bazowy!#REF!</f>
        <v>#REF!</v>
      </c>
      <c r="AE88" s="253" t="e">
        <f>+Zał.1_WPF_bazowy!#REF!</f>
        <v>#REF!</v>
      </c>
      <c r="AF88" s="253" t="e">
        <f>+Zał.1_WPF_bazowy!#REF!</f>
        <v>#REF!</v>
      </c>
      <c r="AG88" s="253" t="e">
        <f>+Zał.1_WPF_bazowy!#REF!</f>
        <v>#REF!</v>
      </c>
      <c r="AH88" s="253" t="e">
        <f>+Zał.1_WPF_bazowy!#REF!</f>
        <v>#REF!</v>
      </c>
      <c r="AI88" s="253" t="e">
        <f>+Zał.1_WPF_bazowy!#REF!</f>
        <v>#REF!</v>
      </c>
      <c r="AJ88" s="253" t="e">
        <f>+Zał.1_WPF_bazowy!#REF!</f>
        <v>#REF!</v>
      </c>
      <c r="AK88" s="253" t="e">
        <f>+Zał.1_WPF_bazowy!#REF!</f>
        <v>#REF!</v>
      </c>
      <c r="AL88" s="254" t="e">
        <f>+Zał.1_WPF_bazowy!#REF!</f>
        <v>#REF!</v>
      </c>
    </row>
    <row r="89" spans="1:38" ht="36" outlineLevel="2">
      <c r="A89" s="309"/>
      <c r="B89" s="32" t="s">
        <v>407</v>
      </c>
      <c r="C89" s="99"/>
      <c r="D89" s="294" t="s">
        <v>455</v>
      </c>
      <c r="E89" s="197">
        <f>Zał.1_WPF_bazowy!E89</f>
        <v>0</v>
      </c>
      <c r="F89" s="198">
        <f>Zał.1_WPF_bazowy!F89</f>
        <v>0</v>
      </c>
      <c r="G89" s="198">
        <f>Zał.1_WPF_bazowy!G89</f>
        <v>0</v>
      </c>
      <c r="H89" s="251">
        <f>Zał.1_WPF_bazowy!H89</f>
        <v>0</v>
      </c>
      <c r="I89" s="252">
        <f>+Zał.1_WPF_bazowy!I89</f>
        <v>0</v>
      </c>
      <c r="J89" s="253">
        <f>+Zał.1_WPF_bazowy!J89</f>
        <v>0</v>
      </c>
      <c r="K89" s="253">
        <f>+Zał.1_WPF_bazowy!K89</f>
        <v>0</v>
      </c>
      <c r="L89" s="253">
        <f>+Zał.1_WPF_bazowy!L89</f>
        <v>0</v>
      </c>
      <c r="M89" s="253" t="e">
        <f>+Zał.1_WPF_bazowy!#REF!</f>
        <v>#REF!</v>
      </c>
      <c r="N89" s="253" t="e">
        <f>+Zał.1_WPF_bazowy!#REF!</f>
        <v>#REF!</v>
      </c>
      <c r="O89" s="253" t="e">
        <f>+Zał.1_WPF_bazowy!#REF!</f>
        <v>#REF!</v>
      </c>
      <c r="P89" s="253" t="e">
        <f>+Zał.1_WPF_bazowy!#REF!</f>
        <v>#REF!</v>
      </c>
      <c r="Q89" s="253" t="e">
        <f>+Zał.1_WPF_bazowy!#REF!</f>
        <v>#REF!</v>
      </c>
      <c r="R89" s="253" t="e">
        <f>+Zał.1_WPF_bazowy!#REF!</f>
        <v>#REF!</v>
      </c>
      <c r="S89" s="253" t="e">
        <f>+Zał.1_WPF_bazowy!#REF!</f>
        <v>#REF!</v>
      </c>
      <c r="T89" s="253" t="e">
        <f>+Zał.1_WPF_bazowy!#REF!</f>
        <v>#REF!</v>
      </c>
      <c r="U89" s="253" t="e">
        <f>+Zał.1_WPF_bazowy!#REF!</f>
        <v>#REF!</v>
      </c>
      <c r="V89" s="253" t="e">
        <f>+Zał.1_WPF_bazowy!#REF!</f>
        <v>#REF!</v>
      </c>
      <c r="W89" s="253" t="e">
        <f>+Zał.1_WPF_bazowy!#REF!</f>
        <v>#REF!</v>
      </c>
      <c r="X89" s="253" t="e">
        <f>+Zał.1_WPF_bazowy!#REF!</f>
        <v>#REF!</v>
      </c>
      <c r="Y89" s="253" t="e">
        <f>+Zał.1_WPF_bazowy!#REF!</f>
        <v>#REF!</v>
      </c>
      <c r="Z89" s="253" t="e">
        <f>+Zał.1_WPF_bazowy!#REF!</f>
        <v>#REF!</v>
      </c>
      <c r="AA89" s="253" t="e">
        <f>+Zał.1_WPF_bazowy!#REF!</f>
        <v>#REF!</v>
      </c>
      <c r="AB89" s="253" t="e">
        <f>+Zał.1_WPF_bazowy!#REF!</f>
        <v>#REF!</v>
      </c>
      <c r="AC89" s="253" t="e">
        <f>+Zał.1_WPF_bazowy!#REF!</f>
        <v>#REF!</v>
      </c>
      <c r="AD89" s="253" t="e">
        <f>+Zał.1_WPF_bazowy!#REF!</f>
        <v>#REF!</v>
      </c>
      <c r="AE89" s="253" t="e">
        <f>+Zał.1_WPF_bazowy!#REF!</f>
        <v>#REF!</v>
      </c>
      <c r="AF89" s="253" t="e">
        <f>+Zał.1_WPF_bazowy!#REF!</f>
        <v>#REF!</v>
      </c>
      <c r="AG89" s="253" t="e">
        <f>+Zał.1_WPF_bazowy!#REF!</f>
        <v>#REF!</v>
      </c>
      <c r="AH89" s="253" t="e">
        <f>+Zał.1_WPF_bazowy!#REF!</f>
        <v>#REF!</v>
      </c>
      <c r="AI89" s="253" t="e">
        <f>+Zał.1_WPF_bazowy!#REF!</f>
        <v>#REF!</v>
      </c>
      <c r="AJ89" s="253" t="e">
        <f>+Zał.1_WPF_bazowy!#REF!</f>
        <v>#REF!</v>
      </c>
      <c r="AK89" s="253" t="e">
        <f>+Zał.1_WPF_bazowy!#REF!</f>
        <v>#REF!</v>
      </c>
      <c r="AL89" s="254" t="e">
        <f>+Zał.1_WPF_bazowy!#REF!</f>
        <v>#REF!</v>
      </c>
    </row>
    <row r="90" spans="1:38" outlineLevel="2">
      <c r="A90" s="309"/>
      <c r="B90" s="32" t="s">
        <v>409</v>
      </c>
      <c r="C90" s="99"/>
      <c r="D90" s="295" t="s">
        <v>456</v>
      </c>
      <c r="E90" s="197">
        <f>Zał.1_WPF_bazowy!E90</f>
        <v>0</v>
      </c>
      <c r="F90" s="198">
        <f>Zał.1_WPF_bazowy!F90</f>
        <v>0</v>
      </c>
      <c r="G90" s="198">
        <f>Zał.1_WPF_bazowy!G90</f>
        <v>0</v>
      </c>
      <c r="H90" s="251">
        <f>Zał.1_WPF_bazowy!H90</f>
        <v>0</v>
      </c>
      <c r="I90" s="252">
        <f>+Zał.1_WPF_bazowy!I90</f>
        <v>0</v>
      </c>
      <c r="J90" s="253">
        <f>+Zał.1_WPF_bazowy!J90</f>
        <v>0</v>
      </c>
      <c r="K90" s="253">
        <f>+Zał.1_WPF_bazowy!K90</f>
        <v>0</v>
      </c>
      <c r="L90" s="253">
        <f>+Zał.1_WPF_bazowy!L90</f>
        <v>0</v>
      </c>
      <c r="M90" s="253" t="e">
        <f>+Zał.1_WPF_bazowy!#REF!</f>
        <v>#REF!</v>
      </c>
      <c r="N90" s="253" t="e">
        <f>+Zał.1_WPF_bazowy!#REF!</f>
        <v>#REF!</v>
      </c>
      <c r="O90" s="253" t="e">
        <f>+Zał.1_WPF_bazowy!#REF!</f>
        <v>#REF!</v>
      </c>
      <c r="P90" s="253" t="e">
        <f>+Zał.1_WPF_bazowy!#REF!</f>
        <v>#REF!</v>
      </c>
      <c r="Q90" s="253" t="e">
        <f>+Zał.1_WPF_bazowy!#REF!</f>
        <v>#REF!</v>
      </c>
      <c r="R90" s="253" t="e">
        <f>+Zał.1_WPF_bazowy!#REF!</f>
        <v>#REF!</v>
      </c>
      <c r="S90" s="253" t="e">
        <f>+Zał.1_WPF_bazowy!#REF!</f>
        <v>#REF!</v>
      </c>
      <c r="T90" s="253" t="e">
        <f>+Zał.1_WPF_bazowy!#REF!</f>
        <v>#REF!</v>
      </c>
      <c r="U90" s="253" t="e">
        <f>+Zał.1_WPF_bazowy!#REF!</f>
        <v>#REF!</v>
      </c>
      <c r="V90" s="253" t="e">
        <f>+Zał.1_WPF_bazowy!#REF!</f>
        <v>#REF!</v>
      </c>
      <c r="W90" s="253" t="e">
        <f>+Zał.1_WPF_bazowy!#REF!</f>
        <v>#REF!</v>
      </c>
      <c r="X90" s="253" t="e">
        <f>+Zał.1_WPF_bazowy!#REF!</f>
        <v>#REF!</v>
      </c>
      <c r="Y90" s="253" t="e">
        <f>+Zał.1_WPF_bazowy!#REF!</f>
        <v>#REF!</v>
      </c>
      <c r="Z90" s="253" t="e">
        <f>+Zał.1_WPF_bazowy!#REF!</f>
        <v>#REF!</v>
      </c>
      <c r="AA90" s="253" t="e">
        <f>+Zał.1_WPF_bazowy!#REF!</f>
        <v>#REF!</v>
      </c>
      <c r="AB90" s="253" t="e">
        <f>+Zał.1_WPF_bazowy!#REF!</f>
        <v>#REF!</v>
      </c>
      <c r="AC90" s="253" t="e">
        <f>+Zał.1_WPF_bazowy!#REF!</f>
        <v>#REF!</v>
      </c>
      <c r="AD90" s="253" t="e">
        <f>+Zał.1_WPF_bazowy!#REF!</f>
        <v>#REF!</v>
      </c>
      <c r="AE90" s="253" t="e">
        <f>+Zał.1_WPF_bazowy!#REF!</f>
        <v>#REF!</v>
      </c>
      <c r="AF90" s="253" t="e">
        <f>+Zał.1_WPF_bazowy!#REF!</f>
        <v>#REF!</v>
      </c>
      <c r="AG90" s="253" t="e">
        <f>+Zał.1_WPF_bazowy!#REF!</f>
        <v>#REF!</v>
      </c>
      <c r="AH90" s="253" t="e">
        <f>+Zał.1_WPF_bazowy!#REF!</f>
        <v>#REF!</v>
      </c>
      <c r="AI90" s="253" t="e">
        <f>+Zał.1_WPF_bazowy!#REF!</f>
        <v>#REF!</v>
      </c>
      <c r="AJ90" s="253" t="e">
        <f>+Zał.1_WPF_bazowy!#REF!</f>
        <v>#REF!</v>
      </c>
      <c r="AK90" s="253" t="e">
        <f>+Zał.1_WPF_bazowy!#REF!</f>
        <v>#REF!</v>
      </c>
      <c r="AL90" s="254" t="e">
        <f>+Zał.1_WPF_bazowy!#REF!</f>
        <v>#REF!</v>
      </c>
    </row>
    <row r="91" spans="1:38" ht="36" outlineLevel="2">
      <c r="A91" s="309"/>
      <c r="B91" s="32" t="s">
        <v>410</v>
      </c>
      <c r="C91" s="99"/>
      <c r="D91" s="294" t="s">
        <v>470</v>
      </c>
      <c r="E91" s="197">
        <f>Zał.1_WPF_bazowy!E91</f>
        <v>0</v>
      </c>
      <c r="F91" s="198">
        <f>Zał.1_WPF_bazowy!F91</f>
        <v>0</v>
      </c>
      <c r="G91" s="198">
        <f>Zał.1_WPF_bazowy!G91</f>
        <v>0</v>
      </c>
      <c r="H91" s="251">
        <f>Zał.1_WPF_bazowy!H91</f>
        <v>0</v>
      </c>
      <c r="I91" s="252">
        <f>+Zał.1_WPF_bazowy!I91</f>
        <v>0</v>
      </c>
      <c r="J91" s="253">
        <f>+Zał.1_WPF_bazowy!J91</f>
        <v>0</v>
      </c>
      <c r="K91" s="253">
        <f>+Zał.1_WPF_bazowy!K91</f>
        <v>0</v>
      </c>
      <c r="L91" s="253">
        <f>+Zał.1_WPF_bazowy!L91</f>
        <v>0</v>
      </c>
      <c r="M91" s="253" t="e">
        <f>+Zał.1_WPF_bazowy!#REF!</f>
        <v>#REF!</v>
      </c>
      <c r="N91" s="253" t="e">
        <f>+Zał.1_WPF_bazowy!#REF!</f>
        <v>#REF!</v>
      </c>
      <c r="O91" s="253" t="e">
        <f>+Zał.1_WPF_bazowy!#REF!</f>
        <v>#REF!</v>
      </c>
      <c r="P91" s="253" t="e">
        <f>+Zał.1_WPF_bazowy!#REF!</f>
        <v>#REF!</v>
      </c>
      <c r="Q91" s="253" t="e">
        <f>+Zał.1_WPF_bazowy!#REF!</f>
        <v>#REF!</v>
      </c>
      <c r="R91" s="253" t="e">
        <f>+Zał.1_WPF_bazowy!#REF!</f>
        <v>#REF!</v>
      </c>
      <c r="S91" s="253" t="e">
        <f>+Zał.1_WPF_bazowy!#REF!</f>
        <v>#REF!</v>
      </c>
      <c r="T91" s="253" t="e">
        <f>+Zał.1_WPF_bazowy!#REF!</f>
        <v>#REF!</v>
      </c>
      <c r="U91" s="253" t="e">
        <f>+Zał.1_WPF_bazowy!#REF!</f>
        <v>#REF!</v>
      </c>
      <c r="V91" s="253" t="e">
        <f>+Zał.1_WPF_bazowy!#REF!</f>
        <v>#REF!</v>
      </c>
      <c r="W91" s="253" t="e">
        <f>+Zał.1_WPF_bazowy!#REF!</f>
        <v>#REF!</v>
      </c>
      <c r="X91" s="253" t="e">
        <f>+Zał.1_WPF_bazowy!#REF!</f>
        <v>#REF!</v>
      </c>
      <c r="Y91" s="253" t="e">
        <f>+Zał.1_WPF_bazowy!#REF!</f>
        <v>#REF!</v>
      </c>
      <c r="Z91" s="253" t="e">
        <f>+Zał.1_WPF_bazowy!#REF!</f>
        <v>#REF!</v>
      </c>
      <c r="AA91" s="253" t="e">
        <f>+Zał.1_WPF_bazowy!#REF!</f>
        <v>#REF!</v>
      </c>
      <c r="AB91" s="253" t="e">
        <f>+Zał.1_WPF_bazowy!#REF!</f>
        <v>#REF!</v>
      </c>
      <c r="AC91" s="253" t="e">
        <f>+Zał.1_WPF_bazowy!#REF!</f>
        <v>#REF!</v>
      </c>
      <c r="AD91" s="253" t="e">
        <f>+Zał.1_WPF_bazowy!#REF!</f>
        <v>#REF!</v>
      </c>
      <c r="AE91" s="253" t="e">
        <f>+Zał.1_WPF_bazowy!#REF!</f>
        <v>#REF!</v>
      </c>
      <c r="AF91" s="253" t="e">
        <f>+Zał.1_WPF_bazowy!#REF!</f>
        <v>#REF!</v>
      </c>
      <c r="AG91" s="253" t="e">
        <f>+Zał.1_WPF_bazowy!#REF!</f>
        <v>#REF!</v>
      </c>
      <c r="AH91" s="253" t="e">
        <f>+Zał.1_WPF_bazowy!#REF!</f>
        <v>#REF!</v>
      </c>
      <c r="AI91" s="253" t="e">
        <f>+Zał.1_WPF_bazowy!#REF!</f>
        <v>#REF!</v>
      </c>
      <c r="AJ91" s="253" t="e">
        <f>+Zał.1_WPF_bazowy!#REF!</f>
        <v>#REF!</v>
      </c>
      <c r="AK91" s="253" t="e">
        <f>+Zał.1_WPF_bazowy!#REF!</f>
        <v>#REF!</v>
      </c>
      <c r="AL91" s="254" t="e">
        <f>+Zał.1_WPF_bazowy!#REF!</f>
        <v>#REF!</v>
      </c>
    </row>
    <row r="92" spans="1:38" outlineLevel="2">
      <c r="A92" s="309"/>
      <c r="B92" s="32" t="s">
        <v>412</v>
      </c>
      <c r="C92" s="99"/>
      <c r="D92" s="295" t="s">
        <v>456</v>
      </c>
      <c r="E92" s="197">
        <f>Zał.1_WPF_bazowy!E92</f>
        <v>0</v>
      </c>
      <c r="F92" s="198">
        <f>Zał.1_WPF_bazowy!F92</f>
        <v>0</v>
      </c>
      <c r="G92" s="198">
        <f>Zał.1_WPF_bazowy!G92</f>
        <v>0</v>
      </c>
      <c r="H92" s="251">
        <f>Zał.1_WPF_bazowy!H92</f>
        <v>0</v>
      </c>
      <c r="I92" s="252">
        <f>+Zał.1_WPF_bazowy!I92</f>
        <v>0</v>
      </c>
      <c r="J92" s="253">
        <f>+Zał.1_WPF_bazowy!J92</f>
        <v>0</v>
      </c>
      <c r="K92" s="253">
        <f>+Zał.1_WPF_bazowy!K92</f>
        <v>0</v>
      </c>
      <c r="L92" s="253">
        <f>+Zał.1_WPF_bazowy!L92</f>
        <v>0</v>
      </c>
      <c r="M92" s="253" t="e">
        <f>+Zał.1_WPF_bazowy!#REF!</f>
        <v>#REF!</v>
      </c>
      <c r="N92" s="253" t="e">
        <f>+Zał.1_WPF_bazowy!#REF!</f>
        <v>#REF!</v>
      </c>
      <c r="O92" s="253" t="e">
        <f>+Zał.1_WPF_bazowy!#REF!</f>
        <v>#REF!</v>
      </c>
      <c r="P92" s="253" t="e">
        <f>+Zał.1_WPF_bazowy!#REF!</f>
        <v>#REF!</v>
      </c>
      <c r="Q92" s="253" t="e">
        <f>+Zał.1_WPF_bazowy!#REF!</f>
        <v>#REF!</v>
      </c>
      <c r="R92" s="253" t="e">
        <f>+Zał.1_WPF_bazowy!#REF!</f>
        <v>#REF!</v>
      </c>
      <c r="S92" s="253" t="e">
        <f>+Zał.1_WPF_bazowy!#REF!</f>
        <v>#REF!</v>
      </c>
      <c r="T92" s="253" t="e">
        <f>+Zał.1_WPF_bazowy!#REF!</f>
        <v>#REF!</v>
      </c>
      <c r="U92" s="253" t="e">
        <f>+Zał.1_WPF_bazowy!#REF!</f>
        <v>#REF!</v>
      </c>
      <c r="V92" s="253" t="e">
        <f>+Zał.1_WPF_bazowy!#REF!</f>
        <v>#REF!</v>
      </c>
      <c r="W92" s="253" t="e">
        <f>+Zał.1_WPF_bazowy!#REF!</f>
        <v>#REF!</v>
      </c>
      <c r="X92" s="253" t="e">
        <f>+Zał.1_WPF_bazowy!#REF!</f>
        <v>#REF!</v>
      </c>
      <c r="Y92" s="253" t="e">
        <f>+Zał.1_WPF_bazowy!#REF!</f>
        <v>#REF!</v>
      </c>
      <c r="Z92" s="253" t="e">
        <f>+Zał.1_WPF_bazowy!#REF!</f>
        <v>#REF!</v>
      </c>
      <c r="AA92" s="253" t="e">
        <f>+Zał.1_WPF_bazowy!#REF!</f>
        <v>#REF!</v>
      </c>
      <c r="AB92" s="253" t="e">
        <f>+Zał.1_WPF_bazowy!#REF!</f>
        <v>#REF!</v>
      </c>
      <c r="AC92" s="253" t="e">
        <f>+Zał.1_WPF_bazowy!#REF!</f>
        <v>#REF!</v>
      </c>
      <c r="AD92" s="253" t="e">
        <f>+Zał.1_WPF_bazowy!#REF!</f>
        <v>#REF!</v>
      </c>
      <c r="AE92" s="253" t="e">
        <f>+Zał.1_WPF_bazowy!#REF!</f>
        <v>#REF!</v>
      </c>
      <c r="AF92" s="253" t="e">
        <f>+Zał.1_WPF_bazowy!#REF!</f>
        <v>#REF!</v>
      </c>
      <c r="AG92" s="253" t="e">
        <f>+Zał.1_WPF_bazowy!#REF!</f>
        <v>#REF!</v>
      </c>
      <c r="AH92" s="253" t="e">
        <f>+Zał.1_WPF_bazowy!#REF!</f>
        <v>#REF!</v>
      </c>
      <c r="AI92" s="253" t="e">
        <f>+Zał.1_WPF_bazowy!#REF!</f>
        <v>#REF!</v>
      </c>
      <c r="AJ92" s="253" t="e">
        <f>+Zał.1_WPF_bazowy!#REF!</f>
        <v>#REF!</v>
      </c>
      <c r="AK92" s="253" t="e">
        <f>+Zał.1_WPF_bazowy!#REF!</f>
        <v>#REF!</v>
      </c>
      <c r="AL92" s="254" t="e">
        <f>+Zał.1_WPF_bazowy!#REF!</f>
        <v>#REF!</v>
      </c>
    </row>
    <row r="93" spans="1:38" ht="36" outlineLevel="2">
      <c r="A93" s="309"/>
      <c r="B93" s="32" t="s">
        <v>413</v>
      </c>
      <c r="C93" s="99"/>
      <c r="D93" s="294" t="s">
        <v>469</v>
      </c>
      <c r="E93" s="197">
        <f>Zał.1_WPF_bazowy!E93</f>
        <v>0</v>
      </c>
      <c r="F93" s="198">
        <f>Zał.1_WPF_bazowy!F93</f>
        <v>0</v>
      </c>
      <c r="G93" s="198">
        <f>Zał.1_WPF_bazowy!G93</f>
        <v>0</v>
      </c>
      <c r="H93" s="251">
        <f>Zał.1_WPF_bazowy!H93</f>
        <v>0</v>
      </c>
      <c r="I93" s="252">
        <f>+Zał.1_WPF_bazowy!I93</f>
        <v>0</v>
      </c>
      <c r="J93" s="253">
        <f>+Zał.1_WPF_bazowy!J93</f>
        <v>0</v>
      </c>
      <c r="K93" s="253">
        <f>+Zał.1_WPF_bazowy!K93</f>
        <v>0</v>
      </c>
      <c r="L93" s="253">
        <f>+Zał.1_WPF_bazowy!L93</f>
        <v>0</v>
      </c>
      <c r="M93" s="253" t="e">
        <f>+Zał.1_WPF_bazowy!#REF!</f>
        <v>#REF!</v>
      </c>
      <c r="N93" s="253" t="e">
        <f>+Zał.1_WPF_bazowy!#REF!</f>
        <v>#REF!</v>
      </c>
      <c r="O93" s="253" t="e">
        <f>+Zał.1_WPF_bazowy!#REF!</f>
        <v>#REF!</v>
      </c>
      <c r="P93" s="253" t="e">
        <f>+Zał.1_WPF_bazowy!#REF!</f>
        <v>#REF!</v>
      </c>
      <c r="Q93" s="253" t="e">
        <f>+Zał.1_WPF_bazowy!#REF!</f>
        <v>#REF!</v>
      </c>
      <c r="R93" s="253" t="e">
        <f>+Zał.1_WPF_bazowy!#REF!</f>
        <v>#REF!</v>
      </c>
      <c r="S93" s="253" t="e">
        <f>+Zał.1_WPF_bazowy!#REF!</f>
        <v>#REF!</v>
      </c>
      <c r="T93" s="253" t="e">
        <f>+Zał.1_WPF_bazowy!#REF!</f>
        <v>#REF!</v>
      </c>
      <c r="U93" s="253" t="e">
        <f>+Zał.1_WPF_bazowy!#REF!</f>
        <v>#REF!</v>
      </c>
      <c r="V93" s="253" t="e">
        <f>+Zał.1_WPF_bazowy!#REF!</f>
        <v>#REF!</v>
      </c>
      <c r="W93" s="253" t="e">
        <f>+Zał.1_WPF_bazowy!#REF!</f>
        <v>#REF!</v>
      </c>
      <c r="X93" s="253" t="e">
        <f>+Zał.1_WPF_bazowy!#REF!</f>
        <v>#REF!</v>
      </c>
      <c r="Y93" s="253" t="e">
        <f>+Zał.1_WPF_bazowy!#REF!</f>
        <v>#REF!</v>
      </c>
      <c r="Z93" s="253" t="e">
        <f>+Zał.1_WPF_bazowy!#REF!</f>
        <v>#REF!</v>
      </c>
      <c r="AA93" s="253" t="e">
        <f>+Zał.1_WPF_bazowy!#REF!</f>
        <v>#REF!</v>
      </c>
      <c r="AB93" s="253" t="e">
        <f>+Zał.1_WPF_bazowy!#REF!</f>
        <v>#REF!</v>
      </c>
      <c r="AC93" s="253" t="e">
        <f>+Zał.1_WPF_bazowy!#REF!</f>
        <v>#REF!</v>
      </c>
      <c r="AD93" s="253" t="e">
        <f>+Zał.1_WPF_bazowy!#REF!</f>
        <v>#REF!</v>
      </c>
      <c r="AE93" s="253" t="e">
        <f>+Zał.1_WPF_bazowy!#REF!</f>
        <v>#REF!</v>
      </c>
      <c r="AF93" s="253" t="e">
        <f>+Zał.1_WPF_bazowy!#REF!</f>
        <v>#REF!</v>
      </c>
      <c r="AG93" s="253" t="e">
        <f>+Zał.1_WPF_bazowy!#REF!</f>
        <v>#REF!</v>
      </c>
      <c r="AH93" s="253" t="e">
        <f>+Zał.1_WPF_bazowy!#REF!</f>
        <v>#REF!</v>
      </c>
      <c r="AI93" s="253" t="e">
        <f>+Zał.1_WPF_bazowy!#REF!</f>
        <v>#REF!</v>
      </c>
      <c r="AJ93" s="253" t="e">
        <f>+Zał.1_WPF_bazowy!#REF!</f>
        <v>#REF!</v>
      </c>
      <c r="AK93" s="253" t="e">
        <f>+Zał.1_WPF_bazowy!#REF!</f>
        <v>#REF!</v>
      </c>
      <c r="AL93" s="254" t="e">
        <f>+Zał.1_WPF_bazowy!#REF!</f>
        <v>#REF!</v>
      </c>
    </row>
    <row r="94" spans="1:38" outlineLevel="2">
      <c r="A94" s="309"/>
      <c r="B94" s="32" t="s">
        <v>415</v>
      </c>
      <c r="C94" s="99"/>
      <c r="D94" s="295" t="s">
        <v>456</v>
      </c>
      <c r="E94" s="197">
        <f>Zał.1_WPF_bazowy!E94</f>
        <v>0</v>
      </c>
      <c r="F94" s="198">
        <f>Zał.1_WPF_bazowy!F94</f>
        <v>0</v>
      </c>
      <c r="G94" s="198">
        <f>Zał.1_WPF_bazowy!G94</f>
        <v>0</v>
      </c>
      <c r="H94" s="251">
        <f>Zał.1_WPF_bazowy!H94</f>
        <v>0</v>
      </c>
      <c r="I94" s="252">
        <f>+Zał.1_WPF_bazowy!I94</f>
        <v>0</v>
      </c>
      <c r="J94" s="253">
        <f>+Zał.1_WPF_bazowy!J94</f>
        <v>0</v>
      </c>
      <c r="K94" s="253">
        <f>+Zał.1_WPF_bazowy!K94</f>
        <v>0</v>
      </c>
      <c r="L94" s="253">
        <f>+Zał.1_WPF_bazowy!L94</f>
        <v>0</v>
      </c>
      <c r="M94" s="253" t="e">
        <f>+Zał.1_WPF_bazowy!#REF!</f>
        <v>#REF!</v>
      </c>
      <c r="N94" s="253" t="e">
        <f>+Zał.1_WPF_bazowy!#REF!</f>
        <v>#REF!</v>
      </c>
      <c r="O94" s="253" t="e">
        <f>+Zał.1_WPF_bazowy!#REF!</f>
        <v>#REF!</v>
      </c>
      <c r="P94" s="253" t="e">
        <f>+Zał.1_WPF_bazowy!#REF!</f>
        <v>#REF!</v>
      </c>
      <c r="Q94" s="253" t="e">
        <f>+Zał.1_WPF_bazowy!#REF!</f>
        <v>#REF!</v>
      </c>
      <c r="R94" s="253" t="e">
        <f>+Zał.1_WPF_bazowy!#REF!</f>
        <v>#REF!</v>
      </c>
      <c r="S94" s="253" t="e">
        <f>+Zał.1_WPF_bazowy!#REF!</f>
        <v>#REF!</v>
      </c>
      <c r="T94" s="253" t="e">
        <f>+Zał.1_WPF_bazowy!#REF!</f>
        <v>#REF!</v>
      </c>
      <c r="U94" s="253" t="e">
        <f>+Zał.1_WPF_bazowy!#REF!</f>
        <v>#REF!</v>
      </c>
      <c r="V94" s="253" t="e">
        <f>+Zał.1_WPF_bazowy!#REF!</f>
        <v>#REF!</v>
      </c>
      <c r="W94" s="253" t="e">
        <f>+Zał.1_WPF_bazowy!#REF!</f>
        <v>#REF!</v>
      </c>
      <c r="X94" s="253" t="e">
        <f>+Zał.1_WPF_bazowy!#REF!</f>
        <v>#REF!</v>
      </c>
      <c r="Y94" s="253" t="e">
        <f>+Zał.1_WPF_bazowy!#REF!</f>
        <v>#REF!</v>
      </c>
      <c r="Z94" s="253" t="e">
        <f>+Zał.1_WPF_bazowy!#REF!</f>
        <v>#REF!</v>
      </c>
      <c r="AA94" s="253" t="e">
        <f>+Zał.1_WPF_bazowy!#REF!</f>
        <v>#REF!</v>
      </c>
      <c r="AB94" s="253" t="e">
        <f>+Zał.1_WPF_bazowy!#REF!</f>
        <v>#REF!</v>
      </c>
      <c r="AC94" s="253" t="e">
        <f>+Zał.1_WPF_bazowy!#REF!</f>
        <v>#REF!</v>
      </c>
      <c r="AD94" s="253" t="e">
        <f>+Zał.1_WPF_bazowy!#REF!</f>
        <v>#REF!</v>
      </c>
      <c r="AE94" s="253" t="e">
        <f>+Zał.1_WPF_bazowy!#REF!</f>
        <v>#REF!</v>
      </c>
      <c r="AF94" s="253" t="e">
        <f>+Zał.1_WPF_bazowy!#REF!</f>
        <v>#REF!</v>
      </c>
      <c r="AG94" s="253" t="e">
        <f>+Zał.1_WPF_bazowy!#REF!</f>
        <v>#REF!</v>
      </c>
      <c r="AH94" s="253" t="e">
        <f>+Zał.1_WPF_bazowy!#REF!</f>
        <v>#REF!</v>
      </c>
      <c r="AI94" s="253" t="e">
        <f>+Zał.1_WPF_bazowy!#REF!</f>
        <v>#REF!</v>
      </c>
      <c r="AJ94" s="253" t="e">
        <f>+Zał.1_WPF_bazowy!#REF!</f>
        <v>#REF!</v>
      </c>
      <c r="AK94" s="253" t="e">
        <f>+Zał.1_WPF_bazowy!#REF!</f>
        <v>#REF!</v>
      </c>
      <c r="AL94" s="254" t="e">
        <f>+Zał.1_WPF_bazowy!#REF!</f>
        <v>#REF!</v>
      </c>
    </row>
    <row r="95" spans="1:38" s="97" customFormat="1" ht="24" outlineLevel="1">
      <c r="A95" s="309"/>
      <c r="B95" s="31">
        <v>13</v>
      </c>
      <c r="C95" s="366"/>
      <c r="D95" s="292" t="s">
        <v>118</v>
      </c>
      <c r="E95" s="201" t="s">
        <v>28</v>
      </c>
      <c r="F95" s="202" t="s">
        <v>28</v>
      </c>
      <c r="G95" s="202" t="s">
        <v>28</v>
      </c>
      <c r="H95" s="262" t="s">
        <v>28</v>
      </c>
      <c r="I95" s="263" t="s">
        <v>28</v>
      </c>
      <c r="J95" s="264" t="s">
        <v>28</v>
      </c>
      <c r="K95" s="264" t="s">
        <v>28</v>
      </c>
      <c r="L95" s="264" t="s">
        <v>28</v>
      </c>
      <c r="M95" s="264" t="s">
        <v>28</v>
      </c>
      <c r="N95" s="264" t="s">
        <v>28</v>
      </c>
      <c r="O95" s="264" t="s">
        <v>28</v>
      </c>
      <c r="P95" s="264" t="s">
        <v>28</v>
      </c>
      <c r="Q95" s="264" t="s">
        <v>28</v>
      </c>
      <c r="R95" s="264" t="s">
        <v>28</v>
      </c>
      <c r="S95" s="264" t="s">
        <v>28</v>
      </c>
      <c r="T95" s="264" t="s">
        <v>28</v>
      </c>
      <c r="U95" s="264" t="s">
        <v>28</v>
      </c>
      <c r="V95" s="264" t="s">
        <v>28</v>
      </c>
      <c r="W95" s="264" t="s">
        <v>28</v>
      </c>
      <c r="X95" s="264" t="s">
        <v>28</v>
      </c>
      <c r="Y95" s="264" t="s">
        <v>28</v>
      </c>
      <c r="Z95" s="264" t="s">
        <v>28</v>
      </c>
      <c r="AA95" s="264" t="s">
        <v>28</v>
      </c>
      <c r="AB95" s="264" t="s">
        <v>28</v>
      </c>
      <c r="AC95" s="264" t="s">
        <v>28</v>
      </c>
      <c r="AD95" s="264" t="s">
        <v>28</v>
      </c>
      <c r="AE95" s="264" t="s">
        <v>28</v>
      </c>
      <c r="AF95" s="264" t="s">
        <v>28</v>
      </c>
      <c r="AG95" s="264" t="s">
        <v>28</v>
      </c>
      <c r="AH95" s="264" t="s">
        <v>28</v>
      </c>
      <c r="AI95" s="264" t="s">
        <v>28</v>
      </c>
      <c r="AJ95" s="264" t="s">
        <v>28</v>
      </c>
      <c r="AK95" s="264" t="s">
        <v>28</v>
      </c>
      <c r="AL95" s="265" t="s">
        <v>28</v>
      </c>
    </row>
    <row r="96" spans="1:38" ht="24" outlineLevel="2">
      <c r="A96" s="309"/>
      <c r="B96" s="32" t="s">
        <v>168</v>
      </c>
      <c r="C96" s="99"/>
      <c r="D96" s="294" t="s">
        <v>203</v>
      </c>
      <c r="E96" s="197">
        <f>Zał.1_WPF_bazowy!E96</f>
        <v>0</v>
      </c>
      <c r="F96" s="198">
        <f>Zał.1_WPF_bazowy!F96</f>
        <v>0</v>
      </c>
      <c r="G96" s="198">
        <f>Zał.1_WPF_bazowy!G96</f>
        <v>0</v>
      </c>
      <c r="H96" s="251">
        <f>Zał.1_WPF_bazowy!H96</f>
        <v>0</v>
      </c>
      <c r="I96" s="266">
        <f t="shared" ref="I96:AL96" si="19">+IF(I10&lt;&gt;0,H96-(I98+I99+I100+I101),0)</f>
        <v>0</v>
      </c>
      <c r="J96" s="267">
        <f t="shared" si="19"/>
        <v>0</v>
      </c>
      <c r="K96" s="267">
        <f t="shared" si="19"/>
        <v>0</v>
      </c>
      <c r="L96" s="267">
        <f t="shared" si="19"/>
        <v>0</v>
      </c>
      <c r="M96" s="267" t="e">
        <f t="shared" si="19"/>
        <v>#REF!</v>
      </c>
      <c r="N96" s="267" t="e">
        <f t="shared" si="19"/>
        <v>#REF!</v>
      </c>
      <c r="O96" s="267" t="e">
        <f t="shared" si="19"/>
        <v>#REF!</v>
      </c>
      <c r="P96" s="267" t="e">
        <f t="shared" si="19"/>
        <v>#REF!</v>
      </c>
      <c r="Q96" s="267" t="e">
        <f t="shared" si="19"/>
        <v>#REF!</v>
      </c>
      <c r="R96" s="267" t="e">
        <f t="shared" si="19"/>
        <v>#REF!</v>
      </c>
      <c r="S96" s="267" t="e">
        <f t="shared" si="19"/>
        <v>#REF!</v>
      </c>
      <c r="T96" s="267" t="e">
        <f t="shared" si="19"/>
        <v>#REF!</v>
      </c>
      <c r="U96" s="267" t="e">
        <f t="shared" si="19"/>
        <v>#REF!</v>
      </c>
      <c r="V96" s="267" t="e">
        <f t="shared" si="19"/>
        <v>#REF!</v>
      </c>
      <c r="W96" s="267" t="e">
        <f t="shared" si="19"/>
        <v>#REF!</v>
      </c>
      <c r="X96" s="267" t="e">
        <f t="shared" si="19"/>
        <v>#REF!</v>
      </c>
      <c r="Y96" s="267" t="e">
        <f t="shared" si="19"/>
        <v>#REF!</v>
      </c>
      <c r="Z96" s="267" t="e">
        <f t="shared" si="19"/>
        <v>#REF!</v>
      </c>
      <c r="AA96" s="267" t="e">
        <f t="shared" si="19"/>
        <v>#REF!</v>
      </c>
      <c r="AB96" s="267" t="e">
        <f t="shared" si="19"/>
        <v>#REF!</v>
      </c>
      <c r="AC96" s="267" t="e">
        <f t="shared" si="19"/>
        <v>#REF!</v>
      </c>
      <c r="AD96" s="267" t="e">
        <f t="shared" si="19"/>
        <v>#REF!</v>
      </c>
      <c r="AE96" s="267" t="e">
        <f t="shared" si="19"/>
        <v>#REF!</v>
      </c>
      <c r="AF96" s="267" t="e">
        <f t="shared" si="19"/>
        <v>#REF!</v>
      </c>
      <c r="AG96" s="267" t="e">
        <f t="shared" si="19"/>
        <v>#REF!</v>
      </c>
      <c r="AH96" s="267" t="e">
        <f t="shared" si="19"/>
        <v>#REF!</v>
      </c>
      <c r="AI96" s="267" t="e">
        <f t="shared" si="19"/>
        <v>#REF!</v>
      </c>
      <c r="AJ96" s="267" t="e">
        <f t="shared" si="19"/>
        <v>#REF!</v>
      </c>
      <c r="AK96" s="267" t="e">
        <f t="shared" si="19"/>
        <v>#REF!</v>
      </c>
      <c r="AL96" s="268" t="e">
        <f t="shared" si="19"/>
        <v>#REF!</v>
      </c>
    </row>
    <row r="97" spans="1:38" ht="24" outlineLevel="2">
      <c r="A97" s="309"/>
      <c r="B97" s="32" t="s">
        <v>169</v>
      </c>
      <c r="C97" s="99"/>
      <c r="D97" s="294" t="s">
        <v>457</v>
      </c>
      <c r="E97" s="197">
        <f>Zał.1_WPF_bazowy!E97</f>
        <v>0</v>
      </c>
      <c r="F97" s="198">
        <f>Zał.1_WPF_bazowy!F97</f>
        <v>0</v>
      </c>
      <c r="G97" s="198">
        <f>Zał.1_WPF_bazowy!G97</f>
        <v>0</v>
      </c>
      <c r="H97" s="251">
        <f>Zał.1_WPF_bazowy!H97</f>
        <v>0</v>
      </c>
      <c r="I97" s="252">
        <f>+Zał.1_WPF_bazowy!I97</f>
        <v>0</v>
      </c>
      <c r="J97" s="253">
        <f>+Zał.1_WPF_bazowy!J97</f>
        <v>0</v>
      </c>
      <c r="K97" s="253">
        <f>+Zał.1_WPF_bazowy!K97</f>
        <v>0</v>
      </c>
      <c r="L97" s="253">
        <f>+Zał.1_WPF_bazowy!L97</f>
        <v>0</v>
      </c>
      <c r="M97" s="253" t="e">
        <f>+Zał.1_WPF_bazowy!#REF!</f>
        <v>#REF!</v>
      </c>
      <c r="N97" s="253" t="e">
        <f>+Zał.1_WPF_bazowy!#REF!</f>
        <v>#REF!</v>
      </c>
      <c r="O97" s="253" t="e">
        <f>+Zał.1_WPF_bazowy!#REF!</f>
        <v>#REF!</v>
      </c>
      <c r="P97" s="253" t="e">
        <f>+Zał.1_WPF_bazowy!#REF!</f>
        <v>#REF!</v>
      </c>
      <c r="Q97" s="253" t="e">
        <f>+Zał.1_WPF_bazowy!#REF!</f>
        <v>#REF!</v>
      </c>
      <c r="R97" s="253" t="e">
        <f>+Zał.1_WPF_bazowy!#REF!</f>
        <v>#REF!</v>
      </c>
      <c r="S97" s="253" t="e">
        <f>+Zał.1_WPF_bazowy!#REF!</f>
        <v>#REF!</v>
      </c>
      <c r="T97" s="253" t="e">
        <f>+Zał.1_WPF_bazowy!#REF!</f>
        <v>#REF!</v>
      </c>
      <c r="U97" s="253" t="e">
        <f>+Zał.1_WPF_bazowy!#REF!</f>
        <v>#REF!</v>
      </c>
      <c r="V97" s="253" t="e">
        <f>+Zał.1_WPF_bazowy!#REF!</f>
        <v>#REF!</v>
      </c>
      <c r="W97" s="253" t="e">
        <f>+Zał.1_WPF_bazowy!#REF!</f>
        <v>#REF!</v>
      </c>
      <c r="X97" s="253" t="e">
        <f>+Zał.1_WPF_bazowy!#REF!</f>
        <v>#REF!</v>
      </c>
      <c r="Y97" s="253" t="e">
        <f>+Zał.1_WPF_bazowy!#REF!</f>
        <v>#REF!</v>
      </c>
      <c r="Z97" s="253" t="e">
        <f>+Zał.1_WPF_bazowy!#REF!</f>
        <v>#REF!</v>
      </c>
      <c r="AA97" s="253" t="e">
        <f>+Zał.1_WPF_bazowy!#REF!</f>
        <v>#REF!</v>
      </c>
      <c r="AB97" s="253" t="e">
        <f>+Zał.1_WPF_bazowy!#REF!</f>
        <v>#REF!</v>
      </c>
      <c r="AC97" s="253" t="e">
        <f>+Zał.1_WPF_bazowy!#REF!</f>
        <v>#REF!</v>
      </c>
      <c r="AD97" s="253" t="e">
        <f>+Zał.1_WPF_bazowy!#REF!</f>
        <v>#REF!</v>
      </c>
      <c r="AE97" s="253" t="e">
        <f>+Zał.1_WPF_bazowy!#REF!</f>
        <v>#REF!</v>
      </c>
      <c r="AF97" s="253" t="e">
        <f>+Zał.1_WPF_bazowy!#REF!</f>
        <v>#REF!</v>
      </c>
      <c r="AG97" s="253" t="e">
        <f>+Zał.1_WPF_bazowy!#REF!</f>
        <v>#REF!</v>
      </c>
      <c r="AH97" s="253" t="e">
        <f>+Zał.1_WPF_bazowy!#REF!</f>
        <v>#REF!</v>
      </c>
      <c r="AI97" s="253" t="e">
        <f>+Zał.1_WPF_bazowy!#REF!</f>
        <v>#REF!</v>
      </c>
      <c r="AJ97" s="253" t="e">
        <f>+Zał.1_WPF_bazowy!#REF!</f>
        <v>#REF!</v>
      </c>
      <c r="AK97" s="253" t="e">
        <f>+Zał.1_WPF_bazowy!#REF!</f>
        <v>#REF!</v>
      </c>
      <c r="AL97" s="254" t="e">
        <f>+Zał.1_WPF_bazowy!#REF!</f>
        <v>#REF!</v>
      </c>
    </row>
    <row r="98" spans="1:38" outlineLevel="2">
      <c r="A98" s="309"/>
      <c r="B98" s="32" t="s">
        <v>170</v>
      </c>
      <c r="C98" s="99"/>
      <c r="D98" s="294" t="s">
        <v>204</v>
      </c>
      <c r="E98" s="197">
        <f>Zał.1_WPF_bazowy!E98</f>
        <v>0</v>
      </c>
      <c r="F98" s="198">
        <f>Zał.1_WPF_bazowy!F98</f>
        <v>0</v>
      </c>
      <c r="G98" s="198">
        <f>Zał.1_WPF_bazowy!G98</f>
        <v>0</v>
      </c>
      <c r="H98" s="251">
        <f>Zał.1_WPF_bazowy!H98</f>
        <v>0</v>
      </c>
      <c r="I98" s="252">
        <f>+Zał.1_WPF_bazowy!I98</f>
        <v>0</v>
      </c>
      <c r="J98" s="253">
        <f>+Zał.1_WPF_bazowy!J98</f>
        <v>0</v>
      </c>
      <c r="K98" s="253">
        <f>+Zał.1_WPF_bazowy!K98</f>
        <v>0</v>
      </c>
      <c r="L98" s="253">
        <f>+Zał.1_WPF_bazowy!L98</f>
        <v>0</v>
      </c>
      <c r="M98" s="253" t="e">
        <f>+Zał.1_WPF_bazowy!#REF!</f>
        <v>#REF!</v>
      </c>
      <c r="N98" s="253" t="e">
        <f>+Zał.1_WPF_bazowy!#REF!</f>
        <v>#REF!</v>
      </c>
      <c r="O98" s="253" t="e">
        <f>+Zał.1_WPF_bazowy!#REF!</f>
        <v>#REF!</v>
      </c>
      <c r="P98" s="253" t="e">
        <f>+Zał.1_WPF_bazowy!#REF!</f>
        <v>#REF!</v>
      </c>
      <c r="Q98" s="253" t="e">
        <f>+Zał.1_WPF_bazowy!#REF!</f>
        <v>#REF!</v>
      </c>
      <c r="R98" s="253" t="e">
        <f>+Zał.1_WPF_bazowy!#REF!</f>
        <v>#REF!</v>
      </c>
      <c r="S98" s="253" t="e">
        <f>+Zał.1_WPF_bazowy!#REF!</f>
        <v>#REF!</v>
      </c>
      <c r="T98" s="253" t="e">
        <f>+Zał.1_WPF_bazowy!#REF!</f>
        <v>#REF!</v>
      </c>
      <c r="U98" s="253" t="e">
        <f>+Zał.1_WPF_bazowy!#REF!</f>
        <v>#REF!</v>
      </c>
      <c r="V98" s="253" t="e">
        <f>+Zał.1_WPF_bazowy!#REF!</f>
        <v>#REF!</v>
      </c>
      <c r="W98" s="253" t="e">
        <f>+Zał.1_WPF_bazowy!#REF!</f>
        <v>#REF!</v>
      </c>
      <c r="X98" s="253" t="e">
        <f>+Zał.1_WPF_bazowy!#REF!</f>
        <v>#REF!</v>
      </c>
      <c r="Y98" s="253" t="e">
        <f>+Zał.1_WPF_bazowy!#REF!</f>
        <v>#REF!</v>
      </c>
      <c r="Z98" s="253" t="e">
        <f>+Zał.1_WPF_bazowy!#REF!</f>
        <v>#REF!</v>
      </c>
      <c r="AA98" s="253" t="e">
        <f>+Zał.1_WPF_bazowy!#REF!</f>
        <v>#REF!</v>
      </c>
      <c r="AB98" s="253" t="e">
        <f>+Zał.1_WPF_bazowy!#REF!</f>
        <v>#REF!</v>
      </c>
      <c r="AC98" s="253" t="e">
        <f>+Zał.1_WPF_bazowy!#REF!</f>
        <v>#REF!</v>
      </c>
      <c r="AD98" s="253" t="e">
        <f>+Zał.1_WPF_bazowy!#REF!</f>
        <v>#REF!</v>
      </c>
      <c r="AE98" s="253" t="e">
        <f>+Zał.1_WPF_bazowy!#REF!</f>
        <v>#REF!</v>
      </c>
      <c r="AF98" s="253" t="e">
        <f>+Zał.1_WPF_bazowy!#REF!</f>
        <v>#REF!</v>
      </c>
      <c r="AG98" s="253" t="e">
        <f>+Zał.1_WPF_bazowy!#REF!</f>
        <v>#REF!</v>
      </c>
      <c r="AH98" s="253" t="e">
        <f>+Zał.1_WPF_bazowy!#REF!</f>
        <v>#REF!</v>
      </c>
      <c r="AI98" s="253" t="e">
        <f>+Zał.1_WPF_bazowy!#REF!</f>
        <v>#REF!</v>
      </c>
      <c r="AJ98" s="253" t="e">
        <f>+Zał.1_WPF_bazowy!#REF!</f>
        <v>#REF!</v>
      </c>
      <c r="AK98" s="253" t="e">
        <f>+Zał.1_WPF_bazowy!#REF!</f>
        <v>#REF!</v>
      </c>
      <c r="AL98" s="254" t="e">
        <f>+Zał.1_WPF_bazowy!#REF!</f>
        <v>#REF!</v>
      </c>
    </row>
    <row r="99" spans="1:38" ht="24" outlineLevel="2">
      <c r="A99" s="309"/>
      <c r="B99" s="32" t="s">
        <v>171</v>
      </c>
      <c r="C99" s="99"/>
      <c r="D99" s="294" t="s">
        <v>458</v>
      </c>
      <c r="E99" s="197">
        <f>Zał.1_WPF_bazowy!E99</f>
        <v>0</v>
      </c>
      <c r="F99" s="198">
        <f>Zał.1_WPF_bazowy!F99</f>
        <v>0</v>
      </c>
      <c r="G99" s="198">
        <f>Zał.1_WPF_bazowy!G99</f>
        <v>0</v>
      </c>
      <c r="H99" s="251">
        <f>Zał.1_WPF_bazowy!H99</f>
        <v>0</v>
      </c>
      <c r="I99" s="252">
        <f>+Zał.1_WPF_bazowy!I99</f>
        <v>0</v>
      </c>
      <c r="J99" s="253">
        <f>+Zał.1_WPF_bazowy!J99</f>
        <v>0</v>
      </c>
      <c r="K99" s="253">
        <f>+Zał.1_WPF_bazowy!K99</f>
        <v>0</v>
      </c>
      <c r="L99" s="253">
        <f>+Zał.1_WPF_bazowy!L99</f>
        <v>0</v>
      </c>
      <c r="M99" s="253" t="e">
        <f>+Zał.1_WPF_bazowy!#REF!</f>
        <v>#REF!</v>
      </c>
      <c r="N99" s="253" t="e">
        <f>+Zał.1_WPF_bazowy!#REF!</f>
        <v>#REF!</v>
      </c>
      <c r="O99" s="253" t="e">
        <f>+Zał.1_WPF_bazowy!#REF!</f>
        <v>#REF!</v>
      </c>
      <c r="P99" s="253" t="e">
        <f>+Zał.1_WPF_bazowy!#REF!</f>
        <v>#REF!</v>
      </c>
      <c r="Q99" s="253" t="e">
        <f>+Zał.1_WPF_bazowy!#REF!</f>
        <v>#REF!</v>
      </c>
      <c r="R99" s="253" t="e">
        <f>+Zał.1_WPF_bazowy!#REF!</f>
        <v>#REF!</v>
      </c>
      <c r="S99" s="253" t="e">
        <f>+Zał.1_WPF_bazowy!#REF!</f>
        <v>#REF!</v>
      </c>
      <c r="T99" s="253" t="e">
        <f>+Zał.1_WPF_bazowy!#REF!</f>
        <v>#REF!</v>
      </c>
      <c r="U99" s="253" t="e">
        <f>+Zał.1_WPF_bazowy!#REF!</f>
        <v>#REF!</v>
      </c>
      <c r="V99" s="253" t="e">
        <f>+Zał.1_WPF_bazowy!#REF!</f>
        <v>#REF!</v>
      </c>
      <c r="W99" s="253" t="e">
        <f>+Zał.1_WPF_bazowy!#REF!</f>
        <v>#REF!</v>
      </c>
      <c r="X99" s="253" t="e">
        <f>+Zał.1_WPF_bazowy!#REF!</f>
        <v>#REF!</v>
      </c>
      <c r="Y99" s="253" t="e">
        <f>+Zał.1_WPF_bazowy!#REF!</f>
        <v>#REF!</v>
      </c>
      <c r="Z99" s="253" t="e">
        <f>+Zał.1_WPF_bazowy!#REF!</f>
        <v>#REF!</v>
      </c>
      <c r="AA99" s="253" t="e">
        <f>+Zał.1_WPF_bazowy!#REF!</f>
        <v>#REF!</v>
      </c>
      <c r="AB99" s="253" t="e">
        <f>+Zał.1_WPF_bazowy!#REF!</f>
        <v>#REF!</v>
      </c>
      <c r="AC99" s="253" t="e">
        <f>+Zał.1_WPF_bazowy!#REF!</f>
        <v>#REF!</v>
      </c>
      <c r="AD99" s="253" t="e">
        <f>+Zał.1_WPF_bazowy!#REF!</f>
        <v>#REF!</v>
      </c>
      <c r="AE99" s="253" t="e">
        <f>+Zał.1_WPF_bazowy!#REF!</f>
        <v>#REF!</v>
      </c>
      <c r="AF99" s="253" t="e">
        <f>+Zał.1_WPF_bazowy!#REF!</f>
        <v>#REF!</v>
      </c>
      <c r="AG99" s="253" t="e">
        <f>+Zał.1_WPF_bazowy!#REF!</f>
        <v>#REF!</v>
      </c>
      <c r="AH99" s="253" t="e">
        <f>+Zał.1_WPF_bazowy!#REF!</f>
        <v>#REF!</v>
      </c>
      <c r="AI99" s="253" t="e">
        <f>+Zał.1_WPF_bazowy!#REF!</f>
        <v>#REF!</v>
      </c>
      <c r="AJ99" s="253" t="e">
        <f>+Zał.1_WPF_bazowy!#REF!</f>
        <v>#REF!</v>
      </c>
      <c r="AK99" s="253" t="e">
        <f>+Zał.1_WPF_bazowy!#REF!</f>
        <v>#REF!</v>
      </c>
      <c r="AL99" s="254" t="e">
        <f>+Zał.1_WPF_bazowy!#REF!</f>
        <v>#REF!</v>
      </c>
    </row>
    <row r="100" spans="1:38" ht="24" outlineLevel="2">
      <c r="A100" s="309"/>
      <c r="B100" s="32" t="s">
        <v>172</v>
      </c>
      <c r="C100" s="99"/>
      <c r="D100" s="294" t="s">
        <v>459</v>
      </c>
      <c r="E100" s="197">
        <f>Zał.1_WPF_bazowy!E100</f>
        <v>0</v>
      </c>
      <c r="F100" s="198">
        <f>Zał.1_WPF_bazowy!F100</f>
        <v>0</v>
      </c>
      <c r="G100" s="198">
        <f>Zał.1_WPF_bazowy!G100</f>
        <v>0</v>
      </c>
      <c r="H100" s="251">
        <f>Zał.1_WPF_bazowy!H100</f>
        <v>0</v>
      </c>
      <c r="I100" s="252">
        <f>+Zał.1_WPF_bazowy!I100</f>
        <v>0</v>
      </c>
      <c r="J100" s="253">
        <f>+Zał.1_WPF_bazowy!J100</f>
        <v>0</v>
      </c>
      <c r="K100" s="253">
        <f>+Zał.1_WPF_bazowy!K100</f>
        <v>0</v>
      </c>
      <c r="L100" s="253">
        <f>+Zał.1_WPF_bazowy!L100</f>
        <v>0</v>
      </c>
      <c r="M100" s="253" t="e">
        <f>+Zał.1_WPF_bazowy!#REF!</f>
        <v>#REF!</v>
      </c>
      <c r="N100" s="253" t="e">
        <f>+Zał.1_WPF_bazowy!#REF!</f>
        <v>#REF!</v>
      </c>
      <c r="O100" s="253" t="e">
        <f>+Zał.1_WPF_bazowy!#REF!</f>
        <v>#REF!</v>
      </c>
      <c r="P100" s="253" t="e">
        <f>+Zał.1_WPF_bazowy!#REF!</f>
        <v>#REF!</v>
      </c>
      <c r="Q100" s="253" t="e">
        <f>+Zał.1_WPF_bazowy!#REF!</f>
        <v>#REF!</v>
      </c>
      <c r="R100" s="253" t="e">
        <f>+Zał.1_WPF_bazowy!#REF!</f>
        <v>#REF!</v>
      </c>
      <c r="S100" s="253" t="e">
        <f>+Zał.1_WPF_bazowy!#REF!</f>
        <v>#REF!</v>
      </c>
      <c r="T100" s="253" t="e">
        <f>+Zał.1_WPF_bazowy!#REF!</f>
        <v>#REF!</v>
      </c>
      <c r="U100" s="253" t="e">
        <f>+Zał.1_WPF_bazowy!#REF!</f>
        <v>#REF!</v>
      </c>
      <c r="V100" s="253" t="e">
        <f>+Zał.1_WPF_bazowy!#REF!</f>
        <v>#REF!</v>
      </c>
      <c r="W100" s="253" t="e">
        <f>+Zał.1_WPF_bazowy!#REF!</f>
        <v>#REF!</v>
      </c>
      <c r="X100" s="253" t="e">
        <f>+Zał.1_WPF_bazowy!#REF!</f>
        <v>#REF!</v>
      </c>
      <c r="Y100" s="253" t="e">
        <f>+Zał.1_WPF_bazowy!#REF!</f>
        <v>#REF!</v>
      </c>
      <c r="Z100" s="253" t="e">
        <f>+Zał.1_WPF_bazowy!#REF!</f>
        <v>#REF!</v>
      </c>
      <c r="AA100" s="253" t="e">
        <f>+Zał.1_WPF_bazowy!#REF!</f>
        <v>#REF!</v>
      </c>
      <c r="AB100" s="253" t="e">
        <f>+Zał.1_WPF_bazowy!#REF!</f>
        <v>#REF!</v>
      </c>
      <c r="AC100" s="253" t="e">
        <f>+Zał.1_WPF_bazowy!#REF!</f>
        <v>#REF!</v>
      </c>
      <c r="AD100" s="253" t="e">
        <f>+Zał.1_WPF_bazowy!#REF!</f>
        <v>#REF!</v>
      </c>
      <c r="AE100" s="253" t="e">
        <f>+Zał.1_WPF_bazowy!#REF!</f>
        <v>#REF!</v>
      </c>
      <c r="AF100" s="253" t="e">
        <f>+Zał.1_WPF_bazowy!#REF!</f>
        <v>#REF!</v>
      </c>
      <c r="AG100" s="253" t="e">
        <f>+Zał.1_WPF_bazowy!#REF!</f>
        <v>#REF!</v>
      </c>
      <c r="AH100" s="253" t="e">
        <f>+Zał.1_WPF_bazowy!#REF!</f>
        <v>#REF!</v>
      </c>
      <c r="AI100" s="253" t="e">
        <f>+Zał.1_WPF_bazowy!#REF!</f>
        <v>#REF!</v>
      </c>
      <c r="AJ100" s="253" t="e">
        <f>+Zał.1_WPF_bazowy!#REF!</f>
        <v>#REF!</v>
      </c>
      <c r="AK100" s="253" t="e">
        <f>+Zał.1_WPF_bazowy!#REF!</f>
        <v>#REF!</v>
      </c>
      <c r="AL100" s="254" t="e">
        <f>+Zał.1_WPF_bazowy!#REF!</f>
        <v>#REF!</v>
      </c>
    </row>
    <row r="101" spans="1:38" ht="24" outlineLevel="2">
      <c r="A101" s="309"/>
      <c r="B101" s="32" t="s">
        <v>173</v>
      </c>
      <c r="C101" s="99"/>
      <c r="D101" s="294" t="s">
        <v>205</v>
      </c>
      <c r="E101" s="197">
        <f>Zał.1_WPF_bazowy!E101</f>
        <v>0</v>
      </c>
      <c r="F101" s="198">
        <f>Zał.1_WPF_bazowy!F101</f>
        <v>0</v>
      </c>
      <c r="G101" s="198">
        <f>Zał.1_WPF_bazowy!G101</f>
        <v>0</v>
      </c>
      <c r="H101" s="251">
        <f>Zał.1_WPF_bazowy!H101</f>
        <v>0</v>
      </c>
      <c r="I101" s="252">
        <f>+Zał.1_WPF_bazowy!I101</f>
        <v>0</v>
      </c>
      <c r="J101" s="253">
        <f>+Zał.1_WPF_bazowy!J101</f>
        <v>0</v>
      </c>
      <c r="K101" s="253">
        <f>+Zał.1_WPF_bazowy!K101</f>
        <v>0</v>
      </c>
      <c r="L101" s="253">
        <f>+Zał.1_WPF_bazowy!L101</f>
        <v>0</v>
      </c>
      <c r="M101" s="253" t="e">
        <f>+Zał.1_WPF_bazowy!#REF!</f>
        <v>#REF!</v>
      </c>
      <c r="N101" s="253" t="e">
        <f>+Zał.1_WPF_bazowy!#REF!</f>
        <v>#REF!</v>
      </c>
      <c r="O101" s="253" t="e">
        <f>+Zał.1_WPF_bazowy!#REF!</f>
        <v>#REF!</v>
      </c>
      <c r="P101" s="253" t="e">
        <f>+Zał.1_WPF_bazowy!#REF!</f>
        <v>#REF!</v>
      </c>
      <c r="Q101" s="253" t="e">
        <f>+Zał.1_WPF_bazowy!#REF!</f>
        <v>#REF!</v>
      </c>
      <c r="R101" s="253" t="e">
        <f>+Zał.1_WPF_bazowy!#REF!</f>
        <v>#REF!</v>
      </c>
      <c r="S101" s="253" t="e">
        <f>+Zał.1_WPF_bazowy!#REF!</f>
        <v>#REF!</v>
      </c>
      <c r="T101" s="253" t="e">
        <f>+Zał.1_WPF_bazowy!#REF!</f>
        <v>#REF!</v>
      </c>
      <c r="U101" s="253" t="e">
        <f>+Zał.1_WPF_bazowy!#REF!</f>
        <v>#REF!</v>
      </c>
      <c r="V101" s="253" t="e">
        <f>+Zał.1_WPF_bazowy!#REF!</f>
        <v>#REF!</v>
      </c>
      <c r="W101" s="253" t="e">
        <f>+Zał.1_WPF_bazowy!#REF!</f>
        <v>#REF!</v>
      </c>
      <c r="X101" s="253" t="e">
        <f>+Zał.1_WPF_bazowy!#REF!</f>
        <v>#REF!</v>
      </c>
      <c r="Y101" s="253" t="e">
        <f>+Zał.1_WPF_bazowy!#REF!</f>
        <v>#REF!</v>
      </c>
      <c r="Z101" s="253" t="e">
        <f>+Zał.1_WPF_bazowy!#REF!</f>
        <v>#REF!</v>
      </c>
      <c r="AA101" s="253" t="e">
        <f>+Zał.1_WPF_bazowy!#REF!</f>
        <v>#REF!</v>
      </c>
      <c r="AB101" s="253" t="e">
        <f>+Zał.1_WPF_bazowy!#REF!</f>
        <v>#REF!</v>
      </c>
      <c r="AC101" s="253" t="e">
        <f>+Zał.1_WPF_bazowy!#REF!</f>
        <v>#REF!</v>
      </c>
      <c r="AD101" s="253" t="e">
        <f>+Zał.1_WPF_bazowy!#REF!</f>
        <v>#REF!</v>
      </c>
      <c r="AE101" s="253" t="e">
        <f>+Zał.1_WPF_bazowy!#REF!</f>
        <v>#REF!</v>
      </c>
      <c r="AF101" s="253" t="e">
        <f>+Zał.1_WPF_bazowy!#REF!</f>
        <v>#REF!</v>
      </c>
      <c r="AG101" s="253" t="e">
        <f>+Zał.1_WPF_bazowy!#REF!</f>
        <v>#REF!</v>
      </c>
      <c r="AH101" s="253" t="e">
        <f>+Zał.1_WPF_bazowy!#REF!</f>
        <v>#REF!</v>
      </c>
      <c r="AI101" s="253" t="e">
        <f>+Zał.1_WPF_bazowy!#REF!</f>
        <v>#REF!</v>
      </c>
      <c r="AJ101" s="253" t="e">
        <f>+Zał.1_WPF_bazowy!#REF!</f>
        <v>#REF!</v>
      </c>
      <c r="AK101" s="253" t="e">
        <f>+Zał.1_WPF_bazowy!#REF!</f>
        <v>#REF!</v>
      </c>
      <c r="AL101" s="254" t="e">
        <f>+Zał.1_WPF_bazowy!#REF!</f>
        <v>#REF!</v>
      </c>
    </row>
    <row r="102" spans="1:38" ht="24" outlineLevel="2">
      <c r="A102" s="309"/>
      <c r="B102" s="32" t="s">
        <v>174</v>
      </c>
      <c r="C102" s="99"/>
      <c r="D102" s="294" t="s">
        <v>206</v>
      </c>
      <c r="E102" s="197">
        <f>Zał.1_WPF_bazowy!E102</f>
        <v>0</v>
      </c>
      <c r="F102" s="198">
        <f>Zał.1_WPF_bazowy!F102</f>
        <v>0</v>
      </c>
      <c r="G102" s="198">
        <f>Zał.1_WPF_bazowy!G102</f>
        <v>0</v>
      </c>
      <c r="H102" s="251">
        <f>Zał.1_WPF_bazowy!H102</f>
        <v>0</v>
      </c>
      <c r="I102" s="252">
        <f>+Zał.1_WPF_bazowy!I102</f>
        <v>0</v>
      </c>
      <c r="J102" s="253">
        <f>+Zał.1_WPF_bazowy!J102</f>
        <v>0</v>
      </c>
      <c r="K102" s="253">
        <f>+Zał.1_WPF_bazowy!K102</f>
        <v>0</v>
      </c>
      <c r="L102" s="253">
        <f>+Zał.1_WPF_bazowy!L102</f>
        <v>0</v>
      </c>
      <c r="M102" s="253" t="e">
        <f>+Zał.1_WPF_bazowy!#REF!</f>
        <v>#REF!</v>
      </c>
      <c r="N102" s="253" t="e">
        <f>+Zał.1_WPF_bazowy!#REF!</f>
        <v>#REF!</v>
      </c>
      <c r="O102" s="253" t="e">
        <f>+Zał.1_WPF_bazowy!#REF!</f>
        <v>#REF!</v>
      </c>
      <c r="P102" s="253" t="e">
        <f>+Zał.1_WPF_bazowy!#REF!</f>
        <v>#REF!</v>
      </c>
      <c r="Q102" s="253" t="e">
        <f>+Zał.1_WPF_bazowy!#REF!</f>
        <v>#REF!</v>
      </c>
      <c r="R102" s="253" t="e">
        <f>+Zał.1_WPF_bazowy!#REF!</f>
        <v>#REF!</v>
      </c>
      <c r="S102" s="253" t="e">
        <f>+Zał.1_WPF_bazowy!#REF!</f>
        <v>#REF!</v>
      </c>
      <c r="T102" s="253" t="e">
        <f>+Zał.1_WPF_bazowy!#REF!</f>
        <v>#REF!</v>
      </c>
      <c r="U102" s="253" t="e">
        <f>+Zał.1_WPF_bazowy!#REF!</f>
        <v>#REF!</v>
      </c>
      <c r="V102" s="253" t="e">
        <f>+Zał.1_WPF_bazowy!#REF!</f>
        <v>#REF!</v>
      </c>
      <c r="W102" s="253" t="e">
        <f>+Zał.1_WPF_bazowy!#REF!</f>
        <v>#REF!</v>
      </c>
      <c r="X102" s="253" t="e">
        <f>+Zał.1_WPF_bazowy!#REF!</f>
        <v>#REF!</v>
      </c>
      <c r="Y102" s="253" t="e">
        <f>+Zał.1_WPF_bazowy!#REF!</f>
        <v>#REF!</v>
      </c>
      <c r="Z102" s="253" t="e">
        <f>+Zał.1_WPF_bazowy!#REF!</f>
        <v>#REF!</v>
      </c>
      <c r="AA102" s="253" t="e">
        <f>+Zał.1_WPF_bazowy!#REF!</f>
        <v>#REF!</v>
      </c>
      <c r="AB102" s="253" t="e">
        <f>+Zał.1_WPF_bazowy!#REF!</f>
        <v>#REF!</v>
      </c>
      <c r="AC102" s="253" t="e">
        <f>+Zał.1_WPF_bazowy!#REF!</f>
        <v>#REF!</v>
      </c>
      <c r="AD102" s="253" t="e">
        <f>+Zał.1_WPF_bazowy!#REF!</f>
        <v>#REF!</v>
      </c>
      <c r="AE102" s="253" t="e">
        <f>+Zał.1_WPF_bazowy!#REF!</f>
        <v>#REF!</v>
      </c>
      <c r="AF102" s="253" t="e">
        <f>+Zał.1_WPF_bazowy!#REF!</f>
        <v>#REF!</v>
      </c>
      <c r="AG102" s="253" t="e">
        <f>+Zał.1_WPF_bazowy!#REF!</f>
        <v>#REF!</v>
      </c>
      <c r="AH102" s="253" t="e">
        <f>+Zał.1_WPF_bazowy!#REF!</f>
        <v>#REF!</v>
      </c>
      <c r="AI102" s="253" t="e">
        <f>+Zał.1_WPF_bazowy!#REF!</f>
        <v>#REF!</v>
      </c>
      <c r="AJ102" s="253" t="e">
        <f>+Zał.1_WPF_bazowy!#REF!</f>
        <v>#REF!</v>
      </c>
      <c r="AK102" s="253" t="e">
        <f>+Zał.1_WPF_bazowy!#REF!</f>
        <v>#REF!</v>
      </c>
      <c r="AL102" s="254" t="e">
        <f>+Zał.1_WPF_bazowy!#REF!</f>
        <v>#REF!</v>
      </c>
    </row>
    <row r="103" spans="1:38" s="97" customFormat="1" ht="15" outlineLevel="1">
      <c r="A103" s="309" t="s">
        <v>28</v>
      </c>
      <c r="B103" s="31">
        <v>14</v>
      </c>
      <c r="C103" s="366"/>
      <c r="D103" s="293" t="s">
        <v>126</v>
      </c>
      <c r="E103" s="201" t="s">
        <v>28</v>
      </c>
      <c r="F103" s="202" t="s">
        <v>28</v>
      </c>
      <c r="G103" s="202" t="s">
        <v>28</v>
      </c>
      <c r="H103" s="262" t="s">
        <v>28</v>
      </c>
      <c r="I103" s="263" t="s">
        <v>28</v>
      </c>
      <c r="J103" s="264" t="s">
        <v>28</v>
      </c>
      <c r="K103" s="264" t="s">
        <v>28</v>
      </c>
      <c r="L103" s="264" t="s">
        <v>28</v>
      </c>
      <c r="M103" s="264" t="s">
        <v>28</v>
      </c>
      <c r="N103" s="264" t="s">
        <v>28</v>
      </c>
      <c r="O103" s="264" t="s">
        <v>28</v>
      </c>
      <c r="P103" s="264" t="s">
        <v>28</v>
      </c>
      <c r="Q103" s="264" t="s">
        <v>28</v>
      </c>
      <c r="R103" s="264" t="s">
        <v>28</v>
      </c>
      <c r="S103" s="264" t="s">
        <v>28</v>
      </c>
      <c r="T103" s="264" t="s">
        <v>28</v>
      </c>
      <c r="U103" s="264" t="s">
        <v>28</v>
      </c>
      <c r="V103" s="264" t="s">
        <v>28</v>
      </c>
      <c r="W103" s="264" t="s">
        <v>28</v>
      </c>
      <c r="X103" s="264" t="s">
        <v>28</v>
      </c>
      <c r="Y103" s="264" t="s">
        <v>28</v>
      </c>
      <c r="Z103" s="264" t="s">
        <v>28</v>
      </c>
      <c r="AA103" s="264" t="s">
        <v>28</v>
      </c>
      <c r="AB103" s="264" t="s">
        <v>28</v>
      </c>
      <c r="AC103" s="264" t="s">
        <v>28</v>
      </c>
      <c r="AD103" s="264" t="s">
        <v>28</v>
      </c>
      <c r="AE103" s="264" t="s">
        <v>28</v>
      </c>
      <c r="AF103" s="264" t="s">
        <v>28</v>
      </c>
      <c r="AG103" s="264" t="s">
        <v>28</v>
      </c>
      <c r="AH103" s="264" t="s">
        <v>28</v>
      </c>
      <c r="AI103" s="264" t="s">
        <v>28</v>
      </c>
      <c r="AJ103" s="264" t="s">
        <v>28</v>
      </c>
      <c r="AK103" s="264" t="s">
        <v>28</v>
      </c>
      <c r="AL103" s="265" t="s">
        <v>28</v>
      </c>
    </row>
    <row r="104" spans="1:38" ht="24" outlineLevel="2">
      <c r="A104" s="309" t="s">
        <v>28</v>
      </c>
      <c r="B104" s="32" t="s">
        <v>175</v>
      </c>
      <c r="C104" s="99"/>
      <c r="D104" s="294" t="s">
        <v>207</v>
      </c>
      <c r="E104" s="197">
        <f>Zał.1_WPF_bazowy!E104</f>
        <v>601088.34</v>
      </c>
      <c r="F104" s="198">
        <f>Zał.1_WPF_bazowy!F104</f>
        <v>1278520.75</v>
      </c>
      <c r="G104" s="198">
        <f>Zał.1_WPF_bazowy!G104</f>
        <v>737521.46</v>
      </c>
      <c r="H104" s="251">
        <f>Zał.1_WPF_bazowy!H104</f>
        <v>737521.46</v>
      </c>
      <c r="I104" s="252">
        <f>+Zał.1_WPF_bazowy!I104</f>
        <v>773956.19</v>
      </c>
      <c r="J104" s="253">
        <f>+Zał.1_WPF_bazowy!J104</f>
        <v>0</v>
      </c>
      <c r="K104" s="253">
        <f>+Zał.1_WPF_bazowy!K104</f>
        <v>0</v>
      </c>
      <c r="L104" s="253">
        <f>+Zał.1_WPF_bazowy!L104</f>
        <v>0</v>
      </c>
      <c r="M104" s="253" t="e">
        <f>+Zał.1_WPF_bazowy!#REF!</f>
        <v>#REF!</v>
      </c>
      <c r="N104" s="253" t="e">
        <f>+Zał.1_WPF_bazowy!#REF!</f>
        <v>#REF!</v>
      </c>
      <c r="O104" s="253" t="e">
        <f>+Zał.1_WPF_bazowy!#REF!</f>
        <v>#REF!</v>
      </c>
      <c r="P104" s="253" t="e">
        <f>+Zał.1_WPF_bazowy!#REF!</f>
        <v>#REF!</v>
      </c>
      <c r="Q104" s="253" t="e">
        <f>+Zał.1_WPF_bazowy!#REF!</f>
        <v>#REF!</v>
      </c>
      <c r="R104" s="253" t="e">
        <f>+Zał.1_WPF_bazowy!#REF!</f>
        <v>#REF!</v>
      </c>
      <c r="S104" s="253" t="e">
        <f>+Zał.1_WPF_bazowy!#REF!</f>
        <v>#REF!</v>
      </c>
      <c r="T104" s="253" t="e">
        <f>+Zał.1_WPF_bazowy!#REF!</f>
        <v>#REF!</v>
      </c>
      <c r="U104" s="253" t="e">
        <f>+Zał.1_WPF_bazowy!#REF!</f>
        <v>#REF!</v>
      </c>
      <c r="V104" s="253" t="e">
        <f>+Zał.1_WPF_bazowy!#REF!</f>
        <v>#REF!</v>
      </c>
      <c r="W104" s="253" t="e">
        <f>+Zał.1_WPF_bazowy!#REF!</f>
        <v>#REF!</v>
      </c>
      <c r="X104" s="253" t="e">
        <f>+Zał.1_WPF_bazowy!#REF!</f>
        <v>#REF!</v>
      </c>
      <c r="Y104" s="253" t="e">
        <f>+Zał.1_WPF_bazowy!#REF!</f>
        <v>#REF!</v>
      </c>
      <c r="Z104" s="253" t="e">
        <f>+Zał.1_WPF_bazowy!#REF!</f>
        <v>#REF!</v>
      </c>
      <c r="AA104" s="253" t="e">
        <f>+Zał.1_WPF_bazowy!#REF!</f>
        <v>#REF!</v>
      </c>
      <c r="AB104" s="253" t="e">
        <f>+Zał.1_WPF_bazowy!#REF!</f>
        <v>#REF!</v>
      </c>
      <c r="AC104" s="253" t="e">
        <f>+Zał.1_WPF_bazowy!#REF!</f>
        <v>#REF!</v>
      </c>
      <c r="AD104" s="253" t="e">
        <f>+Zał.1_WPF_bazowy!#REF!</f>
        <v>#REF!</v>
      </c>
      <c r="AE104" s="253" t="e">
        <f>+Zał.1_WPF_bazowy!#REF!</f>
        <v>#REF!</v>
      </c>
      <c r="AF104" s="253" t="e">
        <f>+Zał.1_WPF_bazowy!#REF!</f>
        <v>#REF!</v>
      </c>
      <c r="AG104" s="253" t="e">
        <f>+Zał.1_WPF_bazowy!#REF!</f>
        <v>#REF!</v>
      </c>
      <c r="AH104" s="253" t="e">
        <f>+Zał.1_WPF_bazowy!#REF!</f>
        <v>#REF!</v>
      </c>
      <c r="AI104" s="253" t="e">
        <f>+Zał.1_WPF_bazowy!#REF!</f>
        <v>#REF!</v>
      </c>
      <c r="AJ104" s="253" t="e">
        <f>+Zał.1_WPF_bazowy!#REF!</f>
        <v>#REF!</v>
      </c>
      <c r="AK104" s="253" t="e">
        <f>+Zał.1_WPF_bazowy!#REF!</f>
        <v>#REF!</v>
      </c>
      <c r="AL104" s="254" t="e">
        <f>+Zał.1_WPF_bazowy!#REF!</f>
        <v>#REF!</v>
      </c>
    </row>
    <row r="105" spans="1:38" outlineLevel="2">
      <c r="A105" s="309" t="s">
        <v>28</v>
      </c>
      <c r="B105" s="32" t="s">
        <v>176</v>
      </c>
      <c r="C105" s="99"/>
      <c r="D105" s="294" t="s">
        <v>208</v>
      </c>
      <c r="E105" s="197">
        <f>Zał.1_WPF_bazowy!E105</f>
        <v>0</v>
      </c>
      <c r="F105" s="198">
        <f>Zał.1_WPF_bazowy!F105</f>
        <v>0</v>
      </c>
      <c r="G105" s="198">
        <f>Zał.1_WPF_bazowy!G105</f>
        <v>0</v>
      </c>
      <c r="H105" s="251">
        <f>Zał.1_WPF_bazowy!H105</f>
        <v>0</v>
      </c>
      <c r="I105" s="252">
        <f>+Zał.1_WPF_bazowy!I105</f>
        <v>0</v>
      </c>
      <c r="J105" s="253">
        <f>+Zał.1_WPF_bazowy!J105</f>
        <v>0</v>
      </c>
      <c r="K105" s="253">
        <f>+Zał.1_WPF_bazowy!K105</f>
        <v>0</v>
      </c>
      <c r="L105" s="253">
        <f>+Zał.1_WPF_bazowy!L105</f>
        <v>0</v>
      </c>
      <c r="M105" s="253" t="e">
        <f>+Zał.1_WPF_bazowy!#REF!</f>
        <v>#REF!</v>
      </c>
      <c r="N105" s="253" t="e">
        <f>+Zał.1_WPF_bazowy!#REF!</f>
        <v>#REF!</v>
      </c>
      <c r="O105" s="253" t="e">
        <f>+Zał.1_WPF_bazowy!#REF!</f>
        <v>#REF!</v>
      </c>
      <c r="P105" s="253" t="e">
        <f>+Zał.1_WPF_bazowy!#REF!</f>
        <v>#REF!</v>
      </c>
      <c r="Q105" s="253" t="e">
        <f>+Zał.1_WPF_bazowy!#REF!</f>
        <v>#REF!</v>
      </c>
      <c r="R105" s="253" t="e">
        <f>+Zał.1_WPF_bazowy!#REF!</f>
        <v>#REF!</v>
      </c>
      <c r="S105" s="253" t="e">
        <f>+Zał.1_WPF_bazowy!#REF!</f>
        <v>#REF!</v>
      </c>
      <c r="T105" s="253" t="e">
        <f>+Zał.1_WPF_bazowy!#REF!</f>
        <v>#REF!</v>
      </c>
      <c r="U105" s="253" t="e">
        <f>+Zał.1_WPF_bazowy!#REF!</f>
        <v>#REF!</v>
      </c>
      <c r="V105" s="253" t="e">
        <f>+Zał.1_WPF_bazowy!#REF!</f>
        <v>#REF!</v>
      </c>
      <c r="W105" s="253" t="e">
        <f>+Zał.1_WPF_bazowy!#REF!</f>
        <v>#REF!</v>
      </c>
      <c r="X105" s="253" t="e">
        <f>+Zał.1_WPF_bazowy!#REF!</f>
        <v>#REF!</v>
      </c>
      <c r="Y105" s="253" t="e">
        <f>+Zał.1_WPF_bazowy!#REF!</f>
        <v>#REF!</v>
      </c>
      <c r="Z105" s="253" t="e">
        <f>+Zał.1_WPF_bazowy!#REF!</f>
        <v>#REF!</v>
      </c>
      <c r="AA105" s="253" t="e">
        <f>+Zał.1_WPF_bazowy!#REF!</f>
        <v>#REF!</v>
      </c>
      <c r="AB105" s="253" t="e">
        <f>+Zał.1_WPF_bazowy!#REF!</f>
        <v>#REF!</v>
      </c>
      <c r="AC105" s="253" t="e">
        <f>+Zał.1_WPF_bazowy!#REF!</f>
        <v>#REF!</v>
      </c>
      <c r="AD105" s="253" t="e">
        <f>+Zał.1_WPF_bazowy!#REF!</f>
        <v>#REF!</v>
      </c>
      <c r="AE105" s="253" t="e">
        <f>+Zał.1_WPF_bazowy!#REF!</f>
        <v>#REF!</v>
      </c>
      <c r="AF105" s="253" t="e">
        <f>+Zał.1_WPF_bazowy!#REF!</f>
        <v>#REF!</v>
      </c>
      <c r="AG105" s="253" t="e">
        <f>+Zał.1_WPF_bazowy!#REF!</f>
        <v>#REF!</v>
      </c>
      <c r="AH105" s="253" t="e">
        <f>+Zał.1_WPF_bazowy!#REF!</f>
        <v>#REF!</v>
      </c>
      <c r="AI105" s="253" t="e">
        <f>+Zał.1_WPF_bazowy!#REF!</f>
        <v>#REF!</v>
      </c>
      <c r="AJ105" s="253" t="e">
        <f>+Zał.1_WPF_bazowy!#REF!</f>
        <v>#REF!</v>
      </c>
      <c r="AK105" s="253" t="e">
        <f>+Zał.1_WPF_bazowy!#REF!</f>
        <v>#REF!</v>
      </c>
      <c r="AL105" s="254" t="e">
        <f>+Zał.1_WPF_bazowy!#REF!</f>
        <v>#REF!</v>
      </c>
    </row>
    <row r="106" spans="1:38" outlineLevel="2">
      <c r="A106" s="309" t="s">
        <v>28</v>
      </c>
      <c r="B106" s="32" t="s">
        <v>177</v>
      </c>
      <c r="C106" s="99"/>
      <c r="D106" s="294" t="s">
        <v>460</v>
      </c>
      <c r="E106" s="197">
        <f>Zał.1_WPF_bazowy!E106</f>
        <v>0</v>
      </c>
      <c r="F106" s="198">
        <f>Zał.1_WPF_bazowy!F106</f>
        <v>0</v>
      </c>
      <c r="G106" s="198">
        <f>Zał.1_WPF_bazowy!G106</f>
        <v>0</v>
      </c>
      <c r="H106" s="251">
        <f>Zał.1_WPF_bazowy!H106</f>
        <v>0</v>
      </c>
      <c r="I106" s="252">
        <f>+Zał.1_WPF_bazowy!I106</f>
        <v>0</v>
      </c>
      <c r="J106" s="253">
        <f>+Zał.1_WPF_bazowy!J106</f>
        <v>0</v>
      </c>
      <c r="K106" s="253">
        <f>+Zał.1_WPF_bazowy!K106</f>
        <v>0</v>
      </c>
      <c r="L106" s="253">
        <f>+Zał.1_WPF_bazowy!L106</f>
        <v>0</v>
      </c>
      <c r="M106" s="253" t="e">
        <f>+Zał.1_WPF_bazowy!#REF!</f>
        <v>#REF!</v>
      </c>
      <c r="N106" s="253" t="e">
        <f>+Zał.1_WPF_bazowy!#REF!</f>
        <v>#REF!</v>
      </c>
      <c r="O106" s="253" t="e">
        <f>+Zał.1_WPF_bazowy!#REF!</f>
        <v>#REF!</v>
      </c>
      <c r="P106" s="253" t="e">
        <f>+Zał.1_WPF_bazowy!#REF!</f>
        <v>#REF!</v>
      </c>
      <c r="Q106" s="253" t="e">
        <f>+Zał.1_WPF_bazowy!#REF!</f>
        <v>#REF!</v>
      </c>
      <c r="R106" s="253" t="e">
        <f>+Zał.1_WPF_bazowy!#REF!</f>
        <v>#REF!</v>
      </c>
      <c r="S106" s="253" t="e">
        <f>+Zał.1_WPF_bazowy!#REF!</f>
        <v>#REF!</v>
      </c>
      <c r="T106" s="253" t="e">
        <f>+Zał.1_WPF_bazowy!#REF!</f>
        <v>#REF!</v>
      </c>
      <c r="U106" s="253" t="e">
        <f>+Zał.1_WPF_bazowy!#REF!</f>
        <v>#REF!</v>
      </c>
      <c r="V106" s="253" t="e">
        <f>+Zał.1_WPF_bazowy!#REF!</f>
        <v>#REF!</v>
      </c>
      <c r="W106" s="253" t="e">
        <f>+Zał.1_WPF_bazowy!#REF!</f>
        <v>#REF!</v>
      </c>
      <c r="X106" s="253" t="e">
        <f>+Zał.1_WPF_bazowy!#REF!</f>
        <v>#REF!</v>
      </c>
      <c r="Y106" s="253" t="e">
        <f>+Zał.1_WPF_bazowy!#REF!</f>
        <v>#REF!</v>
      </c>
      <c r="Z106" s="253" t="e">
        <f>+Zał.1_WPF_bazowy!#REF!</f>
        <v>#REF!</v>
      </c>
      <c r="AA106" s="253" t="e">
        <f>+Zał.1_WPF_bazowy!#REF!</f>
        <v>#REF!</v>
      </c>
      <c r="AB106" s="253" t="e">
        <f>+Zał.1_WPF_bazowy!#REF!</f>
        <v>#REF!</v>
      </c>
      <c r="AC106" s="253" t="e">
        <f>+Zał.1_WPF_bazowy!#REF!</f>
        <v>#REF!</v>
      </c>
      <c r="AD106" s="253" t="e">
        <f>+Zał.1_WPF_bazowy!#REF!</f>
        <v>#REF!</v>
      </c>
      <c r="AE106" s="253" t="e">
        <f>+Zał.1_WPF_bazowy!#REF!</f>
        <v>#REF!</v>
      </c>
      <c r="AF106" s="253" t="e">
        <f>+Zał.1_WPF_bazowy!#REF!</f>
        <v>#REF!</v>
      </c>
      <c r="AG106" s="253" t="e">
        <f>+Zał.1_WPF_bazowy!#REF!</f>
        <v>#REF!</v>
      </c>
      <c r="AH106" s="253" t="e">
        <f>+Zał.1_WPF_bazowy!#REF!</f>
        <v>#REF!</v>
      </c>
      <c r="AI106" s="253" t="e">
        <f>+Zał.1_WPF_bazowy!#REF!</f>
        <v>#REF!</v>
      </c>
      <c r="AJ106" s="253" t="e">
        <f>+Zał.1_WPF_bazowy!#REF!</f>
        <v>#REF!</v>
      </c>
      <c r="AK106" s="253" t="e">
        <f>+Zał.1_WPF_bazowy!#REF!</f>
        <v>#REF!</v>
      </c>
      <c r="AL106" s="254" t="e">
        <f>+Zał.1_WPF_bazowy!#REF!</f>
        <v>#REF!</v>
      </c>
    </row>
    <row r="107" spans="1:38" outlineLevel="2">
      <c r="A107" s="309" t="s">
        <v>28</v>
      </c>
      <c r="B107" s="32" t="s">
        <v>130</v>
      </c>
      <c r="C107" s="99"/>
      <c r="D107" s="295" t="s">
        <v>209</v>
      </c>
      <c r="E107" s="197">
        <f>Zał.1_WPF_bazowy!E107</f>
        <v>0</v>
      </c>
      <c r="F107" s="198">
        <f>Zał.1_WPF_bazowy!F107</f>
        <v>0</v>
      </c>
      <c r="G107" s="198">
        <f>Zał.1_WPF_bazowy!G107</f>
        <v>0</v>
      </c>
      <c r="H107" s="251">
        <f>Zał.1_WPF_bazowy!H107</f>
        <v>0</v>
      </c>
      <c r="I107" s="252">
        <f>+Zał.1_WPF_bazowy!I107</f>
        <v>0</v>
      </c>
      <c r="J107" s="253">
        <f>+Zał.1_WPF_bazowy!J107</f>
        <v>0</v>
      </c>
      <c r="K107" s="253">
        <f>+Zał.1_WPF_bazowy!K107</f>
        <v>0</v>
      </c>
      <c r="L107" s="253">
        <f>+Zał.1_WPF_bazowy!L107</f>
        <v>0</v>
      </c>
      <c r="M107" s="253" t="e">
        <f>+Zał.1_WPF_bazowy!#REF!</f>
        <v>#REF!</v>
      </c>
      <c r="N107" s="253" t="e">
        <f>+Zał.1_WPF_bazowy!#REF!</f>
        <v>#REF!</v>
      </c>
      <c r="O107" s="253" t="e">
        <f>+Zał.1_WPF_bazowy!#REF!</f>
        <v>#REF!</v>
      </c>
      <c r="P107" s="253" t="e">
        <f>+Zał.1_WPF_bazowy!#REF!</f>
        <v>#REF!</v>
      </c>
      <c r="Q107" s="253" t="e">
        <f>+Zał.1_WPF_bazowy!#REF!</f>
        <v>#REF!</v>
      </c>
      <c r="R107" s="253" t="e">
        <f>+Zał.1_WPF_bazowy!#REF!</f>
        <v>#REF!</v>
      </c>
      <c r="S107" s="253" t="e">
        <f>+Zał.1_WPF_bazowy!#REF!</f>
        <v>#REF!</v>
      </c>
      <c r="T107" s="253" t="e">
        <f>+Zał.1_WPF_bazowy!#REF!</f>
        <v>#REF!</v>
      </c>
      <c r="U107" s="253" t="e">
        <f>+Zał.1_WPF_bazowy!#REF!</f>
        <v>#REF!</v>
      </c>
      <c r="V107" s="253" t="e">
        <f>+Zał.1_WPF_bazowy!#REF!</f>
        <v>#REF!</v>
      </c>
      <c r="W107" s="253" t="e">
        <f>+Zał.1_WPF_bazowy!#REF!</f>
        <v>#REF!</v>
      </c>
      <c r="X107" s="253" t="e">
        <f>+Zał.1_WPF_bazowy!#REF!</f>
        <v>#REF!</v>
      </c>
      <c r="Y107" s="253" t="e">
        <f>+Zał.1_WPF_bazowy!#REF!</f>
        <v>#REF!</v>
      </c>
      <c r="Z107" s="253" t="e">
        <f>+Zał.1_WPF_bazowy!#REF!</f>
        <v>#REF!</v>
      </c>
      <c r="AA107" s="253" t="e">
        <f>+Zał.1_WPF_bazowy!#REF!</f>
        <v>#REF!</v>
      </c>
      <c r="AB107" s="253" t="e">
        <f>+Zał.1_WPF_bazowy!#REF!</f>
        <v>#REF!</v>
      </c>
      <c r="AC107" s="253" t="e">
        <f>+Zał.1_WPF_bazowy!#REF!</f>
        <v>#REF!</v>
      </c>
      <c r="AD107" s="253" t="e">
        <f>+Zał.1_WPF_bazowy!#REF!</f>
        <v>#REF!</v>
      </c>
      <c r="AE107" s="253" t="e">
        <f>+Zał.1_WPF_bazowy!#REF!</f>
        <v>#REF!</v>
      </c>
      <c r="AF107" s="253" t="e">
        <f>+Zał.1_WPF_bazowy!#REF!</f>
        <v>#REF!</v>
      </c>
      <c r="AG107" s="253" t="e">
        <f>+Zał.1_WPF_bazowy!#REF!</f>
        <v>#REF!</v>
      </c>
      <c r="AH107" s="253" t="e">
        <f>+Zał.1_WPF_bazowy!#REF!</f>
        <v>#REF!</v>
      </c>
      <c r="AI107" s="253" t="e">
        <f>+Zał.1_WPF_bazowy!#REF!</f>
        <v>#REF!</v>
      </c>
      <c r="AJ107" s="253" t="e">
        <f>+Zał.1_WPF_bazowy!#REF!</f>
        <v>#REF!</v>
      </c>
      <c r="AK107" s="253" t="e">
        <f>+Zał.1_WPF_bazowy!#REF!</f>
        <v>#REF!</v>
      </c>
      <c r="AL107" s="254" t="e">
        <f>+Zał.1_WPF_bazowy!#REF!</f>
        <v>#REF!</v>
      </c>
    </row>
    <row r="108" spans="1:38" outlineLevel="2">
      <c r="A108" s="309" t="s">
        <v>28</v>
      </c>
      <c r="B108" s="32" t="s">
        <v>132</v>
      </c>
      <c r="C108" s="99"/>
      <c r="D108" s="295" t="s">
        <v>461</v>
      </c>
      <c r="E108" s="197">
        <f>Zał.1_WPF_bazowy!E108</f>
        <v>0</v>
      </c>
      <c r="F108" s="198">
        <f>Zał.1_WPF_bazowy!F108</f>
        <v>0</v>
      </c>
      <c r="G108" s="198">
        <f>Zał.1_WPF_bazowy!G108</f>
        <v>0</v>
      </c>
      <c r="H108" s="251">
        <f>Zał.1_WPF_bazowy!H108</f>
        <v>0</v>
      </c>
      <c r="I108" s="252">
        <f>+Zał.1_WPF_bazowy!I108</f>
        <v>0</v>
      </c>
      <c r="J108" s="253">
        <f>+Zał.1_WPF_bazowy!J108</f>
        <v>0</v>
      </c>
      <c r="K108" s="253">
        <f>+Zał.1_WPF_bazowy!K108</f>
        <v>0</v>
      </c>
      <c r="L108" s="253">
        <f>+Zał.1_WPF_bazowy!L108</f>
        <v>0</v>
      </c>
      <c r="M108" s="253" t="e">
        <f>+Zał.1_WPF_bazowy!#REF!</f>
        <v>#REF!</v>
      </c>
      <c r="N108" s="253" t="e">
        <f>+Zał.1_WPF_bazowy!#REF!</f>
        <v>#REF!</v>
      </c>
      <c r="O108" s="253" t="e">
        <f>+Zał.1_WPF_bazowy!#REF!</f>
        <v>#REF!</v>
      </c>
      <c r="P108" s="253" t="e">
        <f>+Zał.1_WPF_bazowy!#REF!</f>
        <v>#REF!</v>
      </c>
      <c r="Q108" s="253" t="e">
        <f>+Zał.1_WPF_bazowy!#REF!</f>
        <v>#REF!</v>
      </c>
      <c r="R108" s="253" t="e">
        <f>+Zał.1_WPF_bazowy!#REF!</f>
        <v>#REF!</v>
      </c>
      <c r="S108" s="253" t="e">
        <f>+Zał.1_WPF_bazowy!#REF!</f>
        <v>#REF!</v>
      </c>
      <c r="T108" s="253" t="e">
        <f>+Zał.1_WPF_bazowy!#REF!</f>
        <v>#REF!</v>
      </c>
      <c r="U108" s="253" t="e">
        <f>+Zał.1_WPF_bazowy!#REF!</f>
        <v>#REF!</v>
      </c>
      <c r="V108" s="253" t="e">
        <f>+Zał.1_WPF_bazowy!#REF!</f>
        <v>#REF!</v>
      </c>
      <c r="W108" s="253" t="e">
        <f>+Zał.1_WPF_bazowy!#REF!</f>
        <v>#REF!</v>
      </c>
      <c r="X108" s="253" t="e">
        <f>+Zał.1_WPF_bazowy!#REF!</f>
        <v>#REF!</v>
      </c>
      <c r="Y108" s="253" t="e">
        <f>+Zał.1_WPF_bazowy!#REF!</f>
        <v>#REF!</v>
      </c>
      <c r="Z108" s="253" t="e">
        <f>+Zał.1_WPF_bazowy!#REF!</f>
        <v>#REF!</v>
      </c>
      <c r="AA108" s="253" t="e">
        <f>+Zał.1_WPF_bazowy!#REF!</f>
        <v>#REF!</v>
      </c>
      <c r="AB108" s="253" t="e">
        <f>+Zał.1_WPF_bazowy!#REF!</f>
        <v>#REF!</v>
      </c>
      <c r="AC108" s="253" t="e">
        <f>+Zał.1_WPF_bazowy!#REF!</f>
        <v>#REF!</v>
      </c>
      <c r="AD108" s="253" t="e">
        <f>+Zał.1_WPF_bazowy!#REF!</f>
        <v>#REF!</v>
      </c>
      <c r="AE108" s="253" t="e">
        <f>+Zał.1_WPF_bazowy!#REF!</f>
        <v>#REF!</v>
      </c>
      <c r="AF108" s="253" t="e">
        <f>+Zał.1_WPF_bazowy!#REF!</f>
        <v>#REF!</v>
      </c>
      <c r="AG108" s="253" t="e">
        <f>+Zał.1_WPF_bazowy!#REF!</f>
        <v>#REF!</v>
      </c>
      <c r="AH108" s="253" t="e">
        <f>+Zał.1_WPF_bazowy!#REF!</f>
        <v>#REF!</v>
      </c>
      <c r="AI108" s="253" t="e">
        <f>+Zał.1_WPF_bazowy!#REF!</f>
        <v>#REF!</v>
      </c>
      <c r="AJ108" s="253" t="e">
        <f>+Zał.1_WPF_bazowy!#REF!</f>
        <v>#REF!</v>
      </c>
      <c r="AK108" s="253" t="e">
        <f>+Zał.1_WPF_bazowy!#REF!</f>
        <v>#REF!</v>
      </c>
      <c r="AL108" s="254" t="e">
        <f>+Zał.1_WPF_bazowy!#REF!</f>
        <v>#REF!</v>
      </c>
    </row>
    <row r="109" spans="1:38" outlineLevel="2">
      <c r="A109" s="309" t="s">
        <v>28</v>
      </c>
      <c r="B109" s="32" t="s">
        <v>133</v>
      </c>
      <c r="C109" s="99"/>
      <c r="D109" s="295" t="s">
        <v>210</v>
      </c>
      <c r="E109" s="197">
        <f>Zał.1_WPF_bazowy!E109</f>
        <v>0</v>
      </c>
      <c r="F109" s="198">
        <f>Zał.1_WPF_bazowy!F109</f>
        <v>0</v>
      </c>
      <c r="G109" s="198">
        <f>Zał.1_WPF_bazowy!G109</f>
        <v>0</v>
      </c>
      <c r="H109" s="251">
        <f>Zał.1_WPF_bazowy!H109</f>
        <v>0</v>
      </c>
      <c r="I109" s="252">
        <f>+Zał.1_WPF_bazowy!I109</f>
        <v>0</v>
      </c>
      <c r="J109" s="253">
        <f>+Zał.1_WPF_bazowy!J109</f>
        <v>0</v>
      </c>
      <c r="K109" s="253">
        <f>+Zał.1_WPF_bazowy!K109</f>
        <v>0</v>
      </c>
      <c r="L109" s="253">
        <f>+Zał.1_WPF_bazowy!L109</f>
        <v>0</v>
      </c>
      <c r="M109" s="253" t="e">
        <f>+Zał.1_WPF_bazowy!#REF!</f>
        <v>#REF!</v>
      </c>
      <c r="N109" s="253" t="e">
        <f>+Zał.1_WPF_bazowy!#REF!</f>
        <v>#REF!</v>
      </c>
      <c r="O109" s="253" t="e">
        <f>+Zał.1_WPF_bazowy!#REF!</f>
        <v>#REF!</v>
      </c>
      <c r="P109" s="253" t="e">
        <f>+Zał.1_WPF_bazowy!#REF!</f>
        <v>#REF!</v>
      </c>
      <c r="Q109" s="253" t="e">
        <f>+Zał.1_WPF_bazowy!#REF!</f>
        <v>#REF!</v>
      </c>
      <c r="R109" s="253" t="e">
        <f>+Zał.1_WPF_bazowy!#REF!</f>
        <v>#REF!</v>
      </c>
      <c r="S109" s="253" t="e">
        <f>+Zał.1_WPF_bazowy!#REF!</f>
        <v>#REF!</v>
      </c>
      <c r="T109" s="253" t="e">
        <f>+Zał.1_WPF_bazowy!#REF!</f>
        <v>#REF!</v>
      </c>
      <c r="U109" s="253" t="e">
        <f>+Zał.1_WPF_bazowy!#REF!</f>
        <v>#REF!</v>
      </c>
      <c r="V109" s="253" t="e">
        <f>+Zał.1_WPF_bazowy!#REF!</f>
        <v>#REF!</v>
      </c>
      <c r="W109" s="253" t="e">
        <f>+Zał.1_WPF_bazowy!#REF!</f>
        <v>#REF!</v>
      </c>
      <c r="X109" s="253" t="e">
        <f>+Zał.1_WPF_bazowy!#REF!</f>
        <v>#REF!</v>
      </c>
      <c r="Y109" s="253" t="e">
        <f>+Zał.1_WPF_bazowy!#REF!</f>
        <v>#REF!</v>
      </c>
      <c r="Z109" s="253" t="e">
        <f>+Zał.1_WPF_bazowy!#REF!</f>
        <v>#REF!</v>
      </c>
      <c r="AA109" s="253" t="e">
        <f>+Zał.1_WPF_bazowy!#REF!</f>
        <v>#REF!</v>
      </c>
      <c r="AB109" s="253" t="e">
        <f>+Zał.1_WPF_bazowy!#REF!</f>
        <v>#REF!</v>
      </c>
      <c r="AC109" s="253" t="e">
        <f>+Zał.1_WPF_bazowy!#REF!</f>
        <v>#REF!</v>
      </c>
      <c r="AD109" s="253" t="e">
        <f>+Zał.1_WPF_bazowy!#REF!</f>
        <v>#REF!</v>
      </c>
      <c r="AE109" s="253" t="e">
        <f>+Zał.1_WPF_bazowy!#REF!</f>
        <v>#REF!</v>
      </c>
      <c r="AF109" s="253" t="e">
        <f>+Zał.1_WPF_bazowy!#REF!</f>
        <v>#REF!</v>
      </c>
      <c r="AG109" s="253" t="e">
        <f>+Zał.1_WPF_bazowy!#REF!</f>
        <v>#REF!</v>
      </c>
      <c r="AH109" s="253" t="e">
        <f>+Zał.1_WPF_bazowy!#REF!</f>
        <v>#REF!</v>
      </c>
      <c r="AI109" s="253" t="e">
        <f>+Zał.1_WPF_bazowy!#REF!</f>
        <v>#REF!</v>
      </c>
      <c r="AJ109" s="253" t="e">
        <f>+Zał.1_WPF_bazowy!#REF!</f>
        <v>#REF!</v>
      </c>
      <c r="AK109" s="253" t="e">
        <f>+Zał.1_WPF_bazowy!#REF!</f>
        <v>#REF!</v>
      </c>
      <c r="AL109" s="254" t="e">
        <f>+Zał.1_WPF_bazowy!#REF!</f>
        <v>#REF!</v>
      </c>
    </row>
    <row r="110" spans="1:38" outlineLevel="2">
      <c r="A110" s="309" t="s">
        <v>28</v>
      </c>
      <c r="B110" s="32" t="s">
        <v>178</v>
      </c>
      <c r="C110" s="99"/>
      <c r="D110" s="294" t="s">
        <v>468</v>
      </c>
      <c r="E110" s="197">
        <f>Zał.1_WPF_bazowy!E110</f>
        <v>0</v>
      </c>
      <c r="F110" s="198">
        <f>Zał.1_WPF_bazowy!F110</f>
        <v>0</v>
      </c>
      <c r="G110" s="198">
        <f>Zał.1_WPF_bazowy!G110</f>
        <v>0</v>
      </c>
      <c r="H110" s="251">
        <f>Zał.1_WPF_bazowy!H110</f>
        <v>0</v>
      </c>
      <c r="I110" s="252">
        <f>+Zał.1_WPF_bazowy!I110</f>
        <v>0</v>
      </c>
      <c r="J110" s="253">
        <f>+Zał.1_WPF_bazowy!J110</f>
        <v>0</v>
      </c>
      <c r="K110" s="253">
        <f>+Zał.1_WPF_bazowy!K110</f>
        <v>0</v>
      </c>
      <c r="L110" s="253">
        <f>+Zał.1_WPF_bazowy!L110</f>
        <v>0</v>
      </c>
      <c r="M110" s="253" t="e">
        <f>+Zał.1_WPF_bazowy!#REF!</f>
        <v>#REF!</v>
      </c>
      <c r="N110" s="253" t="e">
        <f>+Zał.1_WPF_bazowy!#REF!</f>
        <v>#REF!</v>
      </c>
      <c r="O110" s="253" t="e">
        <f>+Zał.1_WPF_bazowy!#REF!</f>
        <v>#REF!</v>
      </c>
      <c r="P110" s="253" t="e">
        <f>+Zał.1_WPF_bazowy!#REF!</f>
        <v>#REF!</v>
      </c>
      <c r="Q110" s="253" t="e">
        <f>+Zał.1_WPF_bazowy!#REF!</f>
        <v>#REF!</v>
      </c>
      <c r="R110" s="253" t="e">
        <f>+Zał.1_WPF_bazowy!#REF!</f>
        <v>#REF!</v>
      </c>
      <c r="S110" s="253" t="e">
        <f>+Zał.1_WPF_bazowy!#REF!</f>
        <v>#REF!</v>
      </c>
      <c r="T110" s="253" t="e">
        <f>+Zał.1_WPF_bazowy!#REF!</f>
        <v>#REF!</v>
      </c>
      <c r="U110" s="253" t="e">
        <f>+Zał.1_WPF_bazowy!#REF!</f>
        <v>#REF!</v>
      </c>
      <c r="V110" s="253" t="e">
        <f>+Zał.1_WPF_bazowy!#REF!</f>
        <v>#REF!</v>
      </c>
      <c r="W110" s="253" t="e">
        <f>+Zał.1_WPF_bazowy!#REF!</f>
        <v>#REF!</v>
      </c>
      <c r="X110" s="253" t="e">
        <f>+Zał.1_WPF_bazowy!#REF!</f>
        <v>#REF!</v>
      </c>
      <c r="Y110" s="253" t="e">
        <f>+Zał.1_WPF_bazowy!#REF!</f>
        <v>#REF!</v>
      </c>
      <c r="Z110" s="253" t="e">
        <f>+Zał.1_WPF_bazowy!#REF!</f>
        <v>#REF!</v>
      </c>
      <c r="AA110" s="253" t="e">
        <f>+Zał.1_WPF_bazowy!#REF!</f>
        <v>#REF!</v>
      </c>
      <c r="AB110" s="253" t="e">
        <f>+Zał.1_WPF_bazowy!#REF!</f>
        <v>#REF!</v>
      </c>
      <c r="AC110" s="253" t="e">
        <f>+Zał.1_WPF_bazowy!#REF!</f>
        <v>#REF!</v>
      </c>
      <c r="AD110" s="253" t="e">
        <f>+Zał.1_WPF_bazowy!#REF!</f>
        <v>#REF!</v>
      </c>
      <c r="AE110" s="253" t="e">
        <f>+Zał.1_WPF_bazowy!#REF!</f>
        <v>#REF!</v>
      </c>
      <c r="AF110" s="253" t="e">
        <f>+Zał.1_WPF_bazowy!#REF!</f>
        <v>#REF!</v>
      </c>
      <c r="AG110" s="253" t="e">
        <f>+Zał.1_WPF_bazowy!#REF!</f>
        <v>#REF!</v>
      </c>
      <c r="AH110" s="253" t="e">
        <f>+Zał.1_WPF_bazowy!#REF!</f>
        <v>#REF!</v>
      </c>
      <c r="AI110" s="253" t="e">
        <f>+Zał.1_WPF_bazowy!#REF!</f>
        <v>#REF!</v>
      </c>
      <c r="AJ110" s="253" t="e">
        <f>+Zał.1_WPF_bazowy!#REF!</f>
        <v>#REF!</v>
      </c>
      <c r="AK110" s="253" t="e">
        <f>+Zał.1_WPF_bazowy!#REF!</f>
        <v>#REF!</v>
      </c>
      <c r="AL110" s="254" t="e">
        <f>+Zał.1_WPF_bazowy!#REF!</f>
        <v>#REF!</v>
      </c>
    </row>
    <row r="111" spans="1:38" outlineLevel="2">
      <c r="A111" s="309"/>
      <c r="B111" s="31">
        <v>15</v>
      </c>
      <c r="C111" s="366"/>
      <c r="D111" s="293" t="s">
        <v>417</v>
      </c>
      <c r="E111" s="201" t="s">
        <v>28</v>
      </c>
      <c r="F111" s="202" t="s">
        <v>28</v>
      </c>
      <c r="G111" s="202" t="s">
        <v>28</v>
      </c>
      <c r="H111" s="262" t="s">
        <v>28</v>
      </c>
      <c r="I111" s="263" t="s">
        <v>28</v>
      </c>
      <c r="J111" s="264" t="s">
        <v>28</v>
      </c>
      <c r="K111" s="264" t="s">
        <v>28</v>
      </c>
      <c r="L111" s="264" t="s">
        <v>28</v>
      </c>
      <c r="M111" s="264" t="s">
        <v>28</v>
      </c>
      <c r="N111" s="264" t="s">
        <v>28</v>
      </c>
      <c r="O111" s="264" t="s">
        <v>28</v>
      </c>
      <c r="P111" s="264" t="s">
        <v>28</v>
      </c>
      <c r="Q111" s="264" t="s">
        <v>28</v>
      </c>
      <c r="R111" s="264" t="s">
        <v>28</v>
      </c>
      <c r="S111" s="264" t="s">
        <v>28</v>
      </c>
      <c r="T111" s="264" t="s">
        <v>28</v>
      </c>
      <c r="U111" s="264" t="s">
        <v>28</v>
      </c>
      <c r="V111" s="264" t="s">
        <v>28</v>
      </c>
      <c r="W111" s="264" t="s">
        <v>28</v>
      </c>
      <c r="X111" s="264" t="s">
        <v>28</v>
      </c>
      <c r="Y111" s="264" t="s">
        <v>28</v>
      </c>
      <c r="Z111" s="264" t="s">
        <v>28</v>
      </c>
      <c r="AA111" s="264" t="s">
        <v>28</v>
      </c>
      <c r="AB111" s="264" t="s">
        <v>28</v>
      </c>
      <c r="AC111" s="264" t="s">
        <v>28</v>
      </c>
      <c r="AD111" s="264" t="s">
        <v>28</v>
      </c>
      <c r="AE111" s="264" t="s">
        <v>28</v>
      </c>
      <c r="AF111" s="264" t="s">
        <v>28</v>
      </c>
      <c r="AG111" s="264" t="s">
        <v>28</v>
      </c>
      <c r="AH111" s="264" t="s">
        <v>28</v>
      </c>
      <c r="AI111" s="264" t="s">
        <v>28</v>
      </c>
      <c r="AJ111" s="264" t="s">
        <v>28</v>
      </c>
      <c r="AK111" s="264" t="s">
        <v>28</v>
      </c>
      <c r="AL111" s="265" t="s">
        <v>28</v>
      </c>
    </row>
    <row r="112" spans="1:38" outlineLevel="2">
      <c r="A112" s="309"/>
      <c r="B112" s="32" t="s">
        <v>418</v>
      </c>
      <c r="C112" s="99"/>
      <c r="D112" s="294" t="s">
        <v>463</v>
      </c>
      <c r="E112" s="197">
        <f>Zał.1_WPF_bazowy!E112</f>
        <v>0</v>
      </c>
      <c r="F112" s="198">
        <f>Zał.1_WPF_bazowy!F112</f>
        <v>0</v>
      </c>
      <c r="G112" s="198">
        <f>Zał.1_WPF_bazowy!G112</f>
        <v>0</v>
      </c>
      <c r="H112" s="251">
        <f>Zał.1_WPF_bazowy!H112</f>
        <v>0</v>
      </c>
      <c r="I112" s="252">
        <f>+Zał.1_WPF_bazowy!I112</f>
        <v>0</v>
      </c>
      <c r="J112" s="253">
        <f>+Zał.1_WPF_bazowy!J112</f>
        <v>0</v>
      </c>
      <c r="K112" s="253">
        <f>+Zał.1_WPF_bazowy!K112</f>
        <v>0</v>
      </c>
      <c r="L112" s="253">
        <f>+Zał.1_WPF_bazowy!L112</f>
        <v>0</v>
      </c>
      <c r="M112" s="253" t="e">
        <f>+Zał.1_WPF_bazowy!#REF!</f>
        <v>#REF!</v>
      </c>
      <c r="N112" s="253" t="e">
        <f>+Zał.1_WPF_bazowy!#REF!</f>
        <v>#REF!</v>
      </c>
      <c r="O112" s="253" t="e">
        <f>+Zał.1_WPF_bazowy!#REF!</f>
        <v>#REF!</v>
      </c>
      <c r="P112" s="253" t="e">
        <f>+Zał.1_WPF_bazowy!#REF!</f>
        <v>#REF!</v>
      </c>
      <c r="Q112" s="253" t="e">
        <f>+Zał.1_WPF_bazowy!#REF!</f>
        <v>#REF!</v>
      </c>
      <c r="R112" s="253" t="e">
        <f>+Zał.1_WPF_bazowy!#REF!</f>
        <v>#REF!</v>
      </c>
      <c r="S112" s="253" t="e">
        <f>+Zał.1_WPF_bazowy!#REF!</f>
        <v>#REF!</v>
      </c>
      <c r="T112" s="253" t="e">
        <f>+Zał.1_WPF_bazowy!#REF!</f>
        <v>#REF!</v>
      </c>
      <c r="U112" s="253" t="e">
        <f>+Zał.1_WPF_bazowy!#REF!</f>
        <v>#REF!</v>
      </c>
      <c r="V112" s="253" t="e">
        <f>+Zał.1_WPF_bazowy!#REF!</f>
        <v>#REF!</v>
      </c>
      <c r="W112" s="253" t="e">
        <f>+Zał.1_WPF_bazowy!#REF!</f>
        <v>#REF!</v>
      </c>
      <c r="X112" s="253" t="e">
        <f>+Zał.1_WPF_bazowy!#REF!</f>
        <v>#REF!</v>
      </c>
      <c r="Y112" s="253" t="e">
        <f>+Zał.1_WPF_bazowy!#REF!</f>
        <v>#REF!</v>
      </c>
      <c r="Z112" s="253" t="e">
        <f>+Zał.1_WPF_bazowy!#REF!</f>
        <v>#REF!</v>
      </c>
      <c r="AA112" s="253" t="e">
        <f>+Zał.1_WPF_bazowy!#REF!</f>
        <v>#REF!</v>
      </c>
      <c r="AB112" s="253" t="e">
        <f>+Zał.1_WPF_bazowy!#REF!</f>
        <v>#REF!</v>
      </c>
      <c r="AC112" s="253" t="e">
        <f>+Zał.1_WPF_bazowy!#REF!</f>
        <v>#REF!</v>
      </c>
      <c r="AD112" s="253" t="e">
        <f>+Zał.1_WPF_bazowy!#REF!</f>
        <v>#REF!</v>
      </c>
      <c r="AE112" s="253" t="e">
        <f>+Zał.1_WPF_bazowy!#REF!</f>
        <v>#REF!</v>
      </c>
      <c r="AF112" s="253" t="e">
        <f>+Zał.1_WPF_bazowy!#REF!</f>
        <v>#REF!</v>
      </c>
      <c r="AG112" s="253" t="e">
        <f>+Zał.1_WPF_bazowy!#REF!</f>
        <v>#REF!</v>
      </c>
      <c r="AH112" s="253" t="e">
        <f>+Zał.1_WPF_bazowy!#REF!</f>
        <v>#REF!</v>
      </c>
      <c r="AI112" s="253" t="e">
        <f>+Zał.1_WPF_bazowy!#REF!</f>
        <v>#REF!</v>
      </c>
      <c r="AJ112" s="253" t="e">
        <f>+Zał.1_WPF_bazowy!#REF!</f>
        <v>#REF!</v>
      </c>
      <c r="AK112" s="253" t="e">
        <f>+Zał.1_WPF_bazowy!#REF!</f>
        <v>#REF!</v>
      </c>
      <c r="AL112" s="254" t="e">
        <f>+Zał.1_WPF_bazowy!#REF!</f>
        <v>#REF!</v>
      </c>
    </row>
    <row r="113" spans="1:39" outlineLevel="2">
      <c r="A113" s="309" t="s">
        <v>28</v>
      </c>
      <c r="B113" s="32" t="s">
        <v>420</v>
      </c>
      <c r="C113" s="99"/>
      <c r="D113" s="295" t="s">
        <v>462</v>
      </c>
      <c r="E113" s="197">
        <f>Zał.1_WPF_bazowy!E113</f>
        <v>0</v>
      </c>
      <c r="F113" s="198">
        <f>Zał.1_WPF_bazowy!F113</f>
        <v>0</v>
      </c>
      <c r="G113" s="198">
        <f>Zał.1_WPF_bazowy!G113</f>
        <v>0</v>
      </c>
      <c r="H113" s="251">
        <f>Zał.1_WPF_bazowy!H113</f>
        <v>0</v>
      </c>
      <c r="I113" s="252">
        <f>+Zał.1_WPF_bazowy!I113</f>
        <v>0</v>
      </c>
      <c r="J113" s="253">
        <f>+Zał.1_WPF_bazowy!J113</f>
        <v>0</v>
      </c>
      <c r="K113" s="253">
        <f>+Zał.1_WPF_bazowy!K113</f>
        <v>0</v>
      </c>
      <c r="L113" s="253">
        <f>+Zał.1_WPF_bazowy!L113</f>
        <v>0</v>
      </c>
      <c r="M113" s="253" t="e">
        <f>+Zał.1_WPF_bazowy!#REF!</f>
        <v>#REF!</v>
      </c>
      <c r="N113" s="253" t="e">
        <f>+Zał.1_WPF_bazowy!#REF!</f>
        <v>#REF!</v>
      </c>
      <c r="O113" s="253" t="e">
        <f>+Zał.1_WPF_bazowy!#REF!</f>
        <v>#REF!</v>
      </c>
      <c r="P113" s="253" t="e">
        <f>+Zał.1_WPF_bazowy!#REF!</f>
        <v>#REF!</v>
      </c>
      <c r="Q113" s="253" t="e">
        <f>+Zał.1_WPF_bazowy!#REF!</f>
        <v>#REF!</v>
      </c>
      <c r="R113" s="253" t="e">
        <f>+Zał.1_WPF_bazowy!#REF!</f>
        <v>#REF!</v>
      </c>
      <c r="S113" s="253" t="e">
        <f>+Zał.1_WPF_bazowy!#REF!</f>
        <v>#REF!</v>
      </c>
      <c r="T113" s="253" t="e">
        <f>+Zał.1_WPF_bazowy!#REF!</f>
        <v>#REF!</v>
      </c>
      <c r="U113" s="253" t="e">
        <f>+Zał.1_WPF_bazowy!#REF!</f>
        <v>#REF!</v>
      </c>
      <c r="V113" s="253" t="e">
        <f>+Zał.1_WPF_bazowy!#REF!</f>
        <v>#REF!</v>
      </c>
      <c r="W113" s="253" t="e">
        <f>+Zał.1_WPF_bazowy!#REF!</f>
        <v>#REF!</v>
      </c>
      <c r="X113" s="253" t="e">
        <f>+Zał.1_WPF_bazowy!#REF!</f>
        <v>#REF!</v>
      </c>
      <c r="Y113" s="253" t="e">
        <f>+Zał.1_WPF_bazowy!#REF!</f>
        <v>#REF!</v>
      </c>
      <c r="Z113" s="253" t="e">
        <f>+Zał.1_WPF_bazowy!#REF!</f>
        <v>#REF!</v>
      </c>
      <c r="AA113" s="253" t="e">
        <f>+Zał.1_WPF_bazowy!#REF!</f>
        <v>#REF!</v>
      </c>
      <c r="AB113" s="253" t="e">
        <f>+Zał.1_WPF_bazowy!#REF!</f>
        <v>#REF!</v>
      </c>
      <c r="AC113" s="253" t="e">
        <f>+Zał.1_WPF_bazowy!#REF!</f>
        <v>#REF!</v>
      </c>
      <c r="AD113" s="253" t="e">
        <f>+Zał.1_WPF_bazowy!#REF!</f>
        <v>#REF!</v>
      </c>
      <c r="AE113" s="253" t="e">
        <f>+Zał.1_WPF_bazowy!#REF!</f>
        <v>#REF!</v>
      </c>
      <c r="AF113" s="253" t="e">
        <f>+Zał.1_WPF_bazowy!#REF!</f>
        <v>#REF!</v>
      </c>
      <c r="AG113" s="253" t="e">
        <f>+Zał.1_WPF_bazowy!#REF!</f>
        <v>#REF!</v>
      </c>
      <c r="AH113" s="253" t="e">
        <f>+Zał.1_WPF_bazowy!#REF!</f>
        <v>#REF!</v>
      </c>
      <c r="AI113" s="253" t="e">
        <f>+Zał.1_WPF_bazowy!#REF!</f>
        <v>#REF!</v>
      </c>
      <c r="AJ113" s="253" t="e">
        <f>+Zał.1_WPF_bazowy!#REF!</f>
        <v>#REF!</v>
      </c>
      <c r="AK113" s="253" t="e">
        <f>+Zał.1_WPF_bazowy!#REF!</f>
        <v>#REF!</v>
      </c>
      <c r="AL113" s="254" t="e">
        <f>+Zał.1_WPF_bazowy!#REF!</f>
        <v>#REF!</v>
      </c>
    </row>
    <row r="114" spans="1:39" ht="24" outlineLevel="2">
      <c r="A114" s="309" t="s">
        <v>28</v>
      </c>
      <c r="B114" s="348" t="s">
        <v>422</v>
      </c>
      <c r="C114" s="367"/>
      <c r="D114" s="305" t="s">
        <v>424</v>
      </c>
      <c r="E114" s="203">
        <f>Zał.1_WPF_bazowy!E114</f>
        <v>0</v>
      </c>
      <c r="F114" s="204">
        <f>Zał.1_WPF_bazowy!F114</f>
        <v>0</v>
      </c>
      <c r="G114" s="204">
        <f>Zał.1_WPF_bazowy!G114</f>
        <v>0</v>
      </c>
      <c r="H114" s="269">
        <f>Zał.1_WPF_bazowy!H114</f>
        <v>0</v>
      </c>
      <c r="I114" s="270">
        <f>+Zał.1_WPF_bazowy!I114</f>
        <v>0</v>
      </c>
      <c r="J114" s="271">
        <f>+Zał.1_WPF_bazowy!J114</f>
        <v>0</v>
      </c>
      <c r="K114" s="271">
        <f>+Zał.1_WPF_bazowy!K114</f>
        <v>0</v>
      </c>
      <c r="L114" s="271">
        <f>+Zał.1_WPF_bazowy!L114</f>
        <v>0</v>
      </c>
      <c r="M114" s="271" t="e">
        <f>+Zał.1_WPF_bazowy!#REF!</f>
        <v>#REF!</v>
      </c>
      <c r="N114" s="271" t="e">
        <f>+Zał.1_WPF_bazowy!#REF!</f>
        <v>#REF!</v>
      </c>
      <c r="O114" s="271" t="e">
        <f>+Zał.1_WPF_bazowy!#REF!</f>
        <v>#REF!</v>
      </c>
      <c r="P114" s="271" t="e">
        <f>+Zał.1_WPF_bazowy!#REF!</f>
        <v>#REF!</v>
      </c>
      <c r="Q114" s="271" t="e">
        <f>+Zał.1_WPF_bazowy!#REF!</f>
        <v>#REF!</v>
      </c>
      <c r="R114" s="271" t="e">
        <f>+Zał.1_WPF_bazowy!#REF!</f>
        <v>#REF!</v>
      </c>
      <c r="S114" s="271" t="e">
        <f>+Zał.1_WPF_bazowy!#REF!</f>
        <v>#REF!</v>
      </c>
      <c r="T114" s="271" t="e">
        <f>+Zał.1_WPF_bazowy!#REF!</f>
        <v>#REF!</v>
      </c>
      <c r="U114" s="271" t="e">
        <f>+Zał.1_WPF_bazowy!#REF!</f>
        <v>#REF!</v>
      </c>
      <c r="V114" s="271" t="e">
        <f>+Zał.1_WPF_bazowy!#REF!</f>
        <v>#REF!</v>
      </c>
      <c r="W114" s="271" t="e">
        <f>+Zał.1_WPF_bazowy!#REF!</f>
        <v>#REF!</v>
      </c>
      <c r="X114" s="271" t="e">
        <f>+Zał.1_WPF_bazowy!#REF!</f>
        <v>#REF!</v>
      </c>
      <c r="Y114" s="271" t="e">
        <f>+Zał.1_WPF_bazowy!#REF!</f>
        <v>#REF!</v>
      </c>
      <c r="Z114" s="271" t="e">
        <f>+Zał.1_WPF_bazowy!#REF!</f>
        <v>#REF!</v>
      </c>
      <c r="AA114" s="271" t="e">
        <f>+Zał.1_WPF_bazowy!#REF!</f>
        <v>#REF!</v>
      </c>
      <c r="AB114" s="271" t="e">
        <f>+Zał.1_WPF_bazowy!#REF!</f>
        <v>#REF!</v>
      </c>
      <c r="AC114" s="271" t="e">
        <f>+Zał.1_WPF_bazowy!#REF!</f>
        <v>#REF!</v>
      </c>
      <c r="AD114" s="271" t="e">
        <f>+Zał.1_WPF_bazowy!#REF!</f>
        <v>#REF!</v>
      </c>
      <c r="AE114" s="271" t="e">
        <f>+Zał.1_WPF_bazowy!#REF!</f>
        <v>#REF!</v>
      </c>
      <c r="AF114" s="271" t="e">
        <f>+Zał.1_WPF_bazowy!#REF!</f>
        <v>#REF!</v>
      </c>
      <c r="AG114" s="271" t="e">
        <f>+Zał.1_WPF_bazowy!#REF!</f>
        <v>#REF!</v>
      </c>
      <c r="AH114" s="271" t="e">
        <f>+Zał.1_WPF_bazowy!#REF!</f>
        <v>#REF!</v>
      </c>
      <c r="AI114" s="271" t="e">
        <f>+Zał.1_WPF_bazowy!#REF!</f>
        <v>#REF!</v>
      </c>
      <c r="AJ114" s="271" t="e">
        <f>+Zał.1_WPF_bazowy!#REF!</f>
        <v>#REF!</v>
      </c>
      <c r="AK114" s="271" t="e">
        <f>+Zał.1_WPF_bazowy!#REF!</f>
        <v>#REF!</v>
      </c>
      <c r="AL114" s="272" t="e">
        <f>+Zał.1_WPF_bazowy!#REF!</f>
        <v>#REF!</v>
      </c>
    </row>
    <row r="115" spans="1:39">
      <c r="B115" s="81"/>
      <c r="C115" s="81"/>
      <c r="D115" s="81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</row>
    <row r="116" spans="1:39">
      <c r="B116" s="81"/>
      <c r="C116" s="81"/>
      <c r="D116" s="81"/>
      <c r="E116" s="273"/>
      <c r="F116" s="273"/>
      <c r="G116" s="273"/>
      <c r="H116" s="273"/>
      <c r="I116" s="273"/>
      <c r="J116" s="347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</row>
    <row r="117" spans="1:39">
      <c r="B117" s="81"/>
      <c r="C117" s="81"/>
      <c r="D117" s="81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</row>
    <row r="118" spans="1:39">
      <c r="B118" s="107"/>
      <c r="C118" s="107"/>
      <c r="D118" s="81"/>
      <c r="E118" s="274"/>
      <c r="F118" s="274"/>
      <c r="G118" s="274"/>
      <c r="H118" s="274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</row>
    <row r="119" spans="1:39">
      <c r="B119" s="107"/>
      <c r="C119" s="107"/>
      <c r="D119" s="81"/>
      <c r="E119" s="274"/>
      <c r="F119" s="274"/>
      <c r="G119" s="274"/>
      <c r="H119" s="274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</row>
    <row r="120" spans="1:39" customFormat="1" ht="15">
      <c r="A120" s="309"/>
      <c r="B120" s="108" t="s">
        <v>309</v>
      </c>
      <c r="C120" s="108"/>
      <c r="D120" s="108"/>
      <c r="E120" s="109"/>
      <c r="F120" s="109"/>
      <c r="G120" s="109"/>
      <c r="H120" s="106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78"/>
    </row>
    <row r="121" spans="1:39" customFormat="1" outlineLevel="1">
      <c r="A121" s="309"/>
      <c r="B121" s="110"/>
      <c r="C121" s="110"/>
      <c r="D121" s="111" t="s">
        <v>310</v>
      </c>
      <c r="E121" s="106"/>
      <c r="F121" s="106"/>
      <c r="G121" s="106"/>
      <c r="H121" s="106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78"/>
    </row>
    <row r="122" spans="1:39" customFormat="1" outlineLevel="1">
      <c r="A122" s="309"/>
      <c r="B122" s="110"/>
      <c r="C122" s="110"/>
      <c r="D122" s="112" t="s">
        <v>311</v>
      </c>
      <c r="E122" s="106"/>
      <c r="F122" s="106"/>
      <c r="G122" s="106"/>
      <c r="H122" s="106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78"/>
    </row>
    <row r="123" spans="1:39" customFormat="1" outlineLevel="1">
      <c r="A123" s="309"/>
      <c r="B123" s="110"/>
      <c r="C123" s="110"/>
      <c r="D123" s="113" t="s">
        <v>266</v>
      </c>
      <c r="E123" s="106"/>
      <c r="F123" s="106"/>
      <c r="G123" s="106"/>
      <c r="H123" s="106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78"/>
    </row>
    <row r="124" spans="1:39" customFormat="1" outlineLevel="1">
      <c r="A124" s="309"/>
      <c r="B124" s="247"/>
      <c r="C124" s="247"/>
      <c r="D124" s="248" t="s">
        <v>340</v>
      </c>
      <c r="E124" s="106"/>
      <c r="F124" s="106"/>
      <c r="G124" s="106"/>
      <c r="H124" s="106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78"/>
    </row>
    <row r="125" spans="1:39" customFormat="1" outlineLevel="2">
      <c r="A125" s="309"/>
      <c r="B125" s="300"/>
      <c r="C125" s="301" t="s">
        <v>216</v>
      </c>
      <c r="D125" s="61" t="s">
        <v>261</v>
      </c>
      <c r="E125" s="329" t="s">
        <v>28</v>
      </c>
      <c r="F125" s="330" t="s">
        <v>28</v>
      </c>
      <c r="G125" s="330" t="s">
        <v>28</v>
      </c>
      <c r="H125" s="331" t="s">
        <v>28</v>
      </c>
      <c r="I125" s="282" t="str">
        <f t="shared" ref="I125:AL125" si="20">IF(ROUND(I11+I33+I35,2)&gt;=ROUND(I22-I25,2),"TAK","NIE")</f>
        <v>TAK</v>
      </c>
      <c r="J125" s="278" t="str">
        <f t="shared" si="20"/>
        <v>TAK</v>
      </c>
      <c r="K125" s="278" t="str">
        <f t="shared" si="20"/>
        <v>TAK</v>
      </c>
      <c r="L125" s="278" t="str">
        <f t="shared" si="20"/>
        <v>TAK</v>
      </c>
      <c r="M125" s="278" t="e">
        <f t="shared" si="20"/>
        <v>#REF!</v>
      </c>
      <c r="N125" s="278" t="e">
        <f t="shared" si="20"/>
        <v>#REF!</v>
      </c>
      <c r="O125" s="278" t="e">
        <f t="shared" si="20"/>
        <v>#REF!</v>
      </c>
      <c r="P125" s="278" t="e">
        <f t="shared" si="20"/>
        <v>#REF!</v>
      </c>
      <c r="Q125" s="278" t="e">
        <f t="shared" si="20"/>
        <v>#REF!</v>
      </c>
      <c r="R125" s="278" t="e">
        <f t="shared" si="20"/>
        <v>#REF!</v>
      </c>
      <c r="S125" s="278" t="e">
        <f t="shared" si="20"/>
        <v>#REF!</v>
      </c>
      <c r="T125" s="278" t="e">
        <f t="shared" si="20"/>
        <v>#REF!</v>
      </c>
      <c r="U125" s="278" t="e">
        <f t="shared" si="20"/>
        <v>#REF!</v>
      </c>
      <c r="V125" s="278" t="e">
        <f t="shared" si="20"/>
        <v>#REF!</v>
      </c>
      <c r="W125" s="278" t="e">
        <f t="shared" si="20"/>
        <v>#REF!</v>
      </c>
      <c r="X125" s="278" t="e">
        <f t="shared" si="20"/>
        <v>#REF!</v>
      </c>
      <c r="Y125" s="278" t="e">
        <f t="shared" si="20"/>
        <v>#REF!</v>
      </c>
      <c r="Z125" s="278" t="e">
        <f t="shared" si="20"/>
        <v>#REF!</v>
      </c>
      <c r="AA125" s="278" t="e">
        <f t="shared" si="20"/>
        <v>#REF!</v>
      </c>
      <c r="AB125" s="278" t="e">
        <f t="shared" si="20"/>
        <v>#REF!</v>
      </c>
      <c r="AC125" s="278" t="e">
        <f t="shared" si="20"/>
        <v>#REF!</v>
      </c>
      <c r="AD125" s="278" t="e">
        <f t="shared" si="20"/>
        <v>#REF!</v>
      </c>
      <c r="AE125" s="278" t="e">
        <f t="shared" si="20"/>
        <v>#REF!</v>
      </c>
      <c r="AF125" s="278" t="e">
        <f t="shared" si="20"/>
        <v>#REF!</v>
      </c>
      <c r="AG125" s="278" t="e">
        <f t="shared" si="20"/>
        <v>#REF!</v>
      </c>
      <c r="AH125" s="278" t="e">
        <f t="shared" si="20"/>
        <v>#REF!</v>
      </c>
      <c r="AI125" s="278" t="e">
        <f t="shared" si="20"/>
        <v>#REF!</v>
      </c>
      <c r="AJ125" s="278" t="e">
        <f t="shared" si="20"/>
        <v>#REF!</v>
      </c>
      <c r="AK125" s="278" t="e">
        <f t="shared" si="20"/>
        <v>#REF!</v>
      </c>
      <c r="AL125" s="279" t="e">
        <f t="shared" si="20"/>
        <v>#REF!</v>
      </c>
    </row>
    <row r="126" spans="1:39" customFormat="1" ht="24" outlineLevel="2">
      <c r="A126" s="309"/>
      <c r="B126" s="302"/>
      <c r="C126" s="349" t="s">
        <v>214</v>
      </c>
      <c r="D126" s="62" t="s">
        <v>320</v>
      </c>
      <c r="E126" s="332" t="s">
        <v>28</v>
      </c>
      <c r="F126" s="333" t="s">
        <v>28</v>
      </c>
      <c r="G126" s="333" t="s">
        <v>28</v>
      </c>
      <c r="H126" s="334" t="s">
        <v>28</v>
      </c>
      <c r="I126" s="283" t="s">
        <v>28</v>
      </c>
      <c r="J126" s="276" t="s">
        <v>28</v>
      </c>
      <c r="K126" s="276" t="str">
        <f t="shared" ref="K126:AL126" si="21">IF(K98=0,"TAK","BŁĄD")</f>
        <v>TAK</v>
      </c>
      <c r="L126" s="276" t="str">
        <f t="shared" si="21"/>
        <v>TAK</v>
      </c>
      <c r="M126" s="276" t="e">
        <f t="shared" si="21"/>
        <v>#REF!</v>
      </c>
      <c r="N126" s="276" t="e">
        <f t="shared" si="21"/>
        <v>#REF!</v>
      </c>
      <c r="O126" s="276" t="e">
        <f t="shared" si="21"/>
        <v>#REF!</v>
      </c>
      <c r="P126" s="276" t="e">
        <f t="shared" si="21"/>
        <v>#REF!</v>
      </c>
      <c r="Q126" s="276" t="e">
        <f t="shared" si="21"/>
        <v>#REF!</v>
      </c>
      <c r="R126" s="276" t="e">
        <f t="shared" si="21"/>
        <v>#REF!</v>
      </c>
      <c r="S126" s="276" t="e">
        <f t="shared" si="21"/>
        <v>#REF!</v>
      </c>
      <c r="T126" s="276" t="e">
        <f t="shared" si="21"/>
        <v>#REF!</v>
      </c>
      <c r="U126" s="276" t="e">
        <f t="shared" si="21"/>
        <v>#REF!</v>
      </c>
      <c r="V126" s="276" t="e">
        <f t="shared" si="21"/>
        <v>#REF!</v>
      </c>
      <c r="W126" s="276" t="e">
        <f t="shared" si="21"/>
        <v>#REF!</v>
      </c>
      <c r="X126" s="276" t="e">
        <f t="shared" si="21"/>
        <v>#REF!</v>
      </c>
      <c r="Y126" s="276" t="e">
        <f t="shared" si="21"/>
        <v>#REF!</v>
      </c>
      <c r="Z126" s="276" t="e">
        <f t="shared" si="21"/>
        <v>#REF!</v>
      </c>
      <c r="AA126" s="276" t="e">
        <f t="shared" si="21"/>
        <v>#REF!</v>
      </c>
      <c r="AB126" s="276" t="e">
        <f t="shared" si="21"/>
        <v>#REF!</v>
      </c>
      <c r="AC126" s="276" t="e">
        <f t="shared" si="21"/>
        <v>#REF!</v>
      </c>
      <c r="AD126" s="276" t="e">
        <f t="shared" si="21"/>
        <v>#REF!</v>
      </c>
      <c r="AE126" s="276" t="e">
        <f t="shared" si="21"/>
        <v>#REF!</v>
      </c>
      <c r="AF126" s="276" t="e">
        <f t="shared" si="21"/>
        <v>#REF!</v>
      </c>
      <c r="AG126" s="276" t="e">
        <f t="shared" si="21"/>
        <v>#REF!</v>
      </c>
      <c r="AH126" s="276" t="e">
        <f t="shared" si="21"/>
        <v>#REF!</v>
      </c>
      <c r="AI126" s="276" t="e">
        <f t="shared" si="21"/>
        <v>#REF!</v>
      </c>
      <c r="AJ126" s="276" t="e">
        <f t="shared" si="21"/>
        <v>#REF!</v>
      </c>
      <c r="AK126" s="276" t="e">
        <f t="shared" si="21"/>
        <v>#REF!</v>
      </c>
      <c r="AL126" s="277" t="e">
        <f t="shared" si="21"/>
        <v>#REF!</v>
      </c>
    </row>
    <row r="127" spans="1:39" customFormat="1" outlineLevel="1">
      <c r="A127" s="309"/>
      <c r="B127" s="302"/>
      <c r="C127" s="349" t="s">
        <v>215</v>
      </c>
      <c r="D127" s="63" t="s">
        <v>262</v>
      </c>
      <c r="E127" s="332" t="s">
        <v>28</v>
      </c>
      <c r="F127" s="333" t="s">
        <v>28</v>
      </c>
      <c r="G127" s="333" t="s">
        <v>28</v>
      </c>
      <c r="H127" s="334" t="s">
        <v>28</v>
      </c>
      <c r="I127" s="288" t="str">
        <f t="shared" ref="I127:AL127" si="22">IF(ROUND(I10+I32-I21-I41,2)=0,"OK",ROUND(I10+I32-I21-I41,2))</f>
        <v>OK</v>
      </c>
      <c r="J127" s="289" t="str">
        <f t="shared" si="22"/>
        <v>OK</v>
      </c>
      <c r="K127" s="289" t="str">
        <f t="shared" si="22"/>
        <v>OK</v>
      </c>
      <c r="L127" s="289" t="str">
        <f t="shared" si="22"/>
        <v>OK</v>
      </c>
      <c r="M127" s="289" t="e">
        <f t="shared" si="22"/>
        <v>#REF!</v>
      </c>
      <c r="N127" s="289" t="e">
        <f t="shared" si="22"/>
        <v>#REF!</v>
      </c>
      <c r="O127" s="289" t="e">
        <f t="shared" si="22"/>
        <v>#REF!</v>
      </c>
      <c r="P127" s="289" t="e">
        <f t="shared" si="22"/>
        <v>#REF!</v>
      </c>
      <c r="Q127" s="289" t="e">
        <f t="shared" si="22"/>
        <v>#REF!</v>
      </c>
      <c r="R127" s="289" t="e">
        <f t="shared" si="22"/>
        <v>#REF!</v>
      </c>
      <c r="S127" s="289" t="e">
        <f t="shared" si="22"/>
        <v>#REF!</v>
      </c>
      <c r="T127" s="289" t="e">
        <f t="shared" si="22"/>
        <v>#REF!</v>
      </c>
      <c r="U127" s="289" t="e">
        <f t="shared" si="22"/>
        <v>#REF!</v>
      </c>
      <c r="V127" s="289" t="e">
        <f t="shared" si="22"/>
        <v>#REF!</v>
      </c>
      <c r="W127" s="289" t="e">
        <f t="shared" si="22"/>
        <v>#REF!</v>
      </c>
      <c r="X127" s="289" t="e">
        <f t="shared" si="22"/>
        <v>#REF!</v>
      </c>
      <c r="Y127" s="289" t="e">
        <f t="shared" si="22"/>
        <v>#REF!</v>
      </c>
      <c r="Z127" s="289" t="e">
        <f t="shared" si="22"/>
        <v>#REF!</v>
      </c>
      <c r="AA127" s="289" t="e">
        <f t="shared" si="22"/>
        <v>#REF!</v>
      </c>
      <c r="AB127" s="289" t="e">
        <f t="shared" si="22"/>
        <v>#REF!</v>
      </c>
      <c r="AC127" s="289" t="e">
        <f t="shared" si="22"/>
        <v>#REF!</v>
      </c>
      <c r="AD127" s="289" t="e">
        <f t="shared" si="22"/>
        <v>#REF!</v>
      </c>
      <c r="AE127" s="289" t="e">
        <f t="shared" si="22"/>
        <v>#REF!</v>
      </c>
      <c r="AF127" s="289" t="e">
        <f t="shared" si="22"/>
        <v>#REF!</v>
      </c>
      <c r="AG127" s="289" t="e">
        <f t="shared" si="22"/>
        <v>#REF!</v>
      </c>
      <c r="AH127" s="289" t="e">
        <f t="shared" si="22"/>
        <v>#REF!</v>
      </c>
      <c r="AI127" s="289" t="e">
        <f t="shared" si="22"/>
        <v>#REF!</v>
      </c>
      <c r="AJ127" s="289" t="e">
        <f t="shared" si="22"/>
        <v>#REF!</v>
      </c>
      <c r="AK127" s="289" t="e">
        <f t="shared" si="22"/>
        <v>#REF!</v>
      </c>
      <c r="AL127" s="290" t="e">
        <f t="shared" si="22"/>
        <v>#REF!</v>
      </c>
    </row>
    <row r="128" spans="1:39" customFormat="1" outlineLevel="2">
      <c r="A128" s="309"/>
      <c r="B128" s="306"/>
      <c r="C128" s="310" t="s">
        <v>344</v>
      </c>
      <c r="D128" s="63" t="s">
        <v>263</v>
      </c>
      <c r="E128" s="332" t="s">
        <v>28</v>
      </c>
      <c r="F128" s="333" t="s">
        <v>28</v>
      </c>
      <c r="G128" s="333" t="s">
        <v>28</v>
      </c>
      <c r="H128" s="334" t="s">
        <v>28</v>
      </c>
      <c r="I128" s="288" t="str">
        <f t="shared" ref="I128:AL128" si="23">+IF(ROUND(H48+I37-I42+(I105-H105)+I110-I48,2)=0,"OK",ROUND(H48+I37-I42+(I105-H105)+I110-I48,2))</f>
        <v>OK</v>
      </c>
      <c r="J128" s="289" t="str">
        <f t="shared" si="23"/>
        <v>OK</v>
      </c>
      <c r="K128" s="289" t="str">
        <f t="shared" si="23"/>
        <v>OK</v>
      </c>
      <c r="L128" s="289" t="str">
        <f t="shared" si="23"/>
        <v>OK</v>
      </c>
      <c r="M128" s="289" t="e">
        <f t="shared" si="23"/>
        <v>#REF!</v>
      </c>
      <c r="N128" s="289" t="e">
        <f t="shared" si="23"/>
        <v>#REF!</v>
      </c>
      <c r="O128" s="289" t="e">
        <f t="shared" si="23"/>
        <v>#REF!</v>
      </c>
      <c r="P128" s="289" t="e">
        <f t="shared" si="23"/>
        <v>#REF!</v>
      </c>
      <c r="Q128" s="289" t="e">
        <f t="shared" si="23"/>
        <v>#REF!</v>
      </c>
      <c r="R128" s="289" t="e">
        <f t="shared" si="23"/>
        <v>#REF!</v>
      </c>
      <c r="S128" s="289" t="e">
        <f t="shared" si="23"/>
        <v>#REF!</v>
      </c>
      <c r="T128" s="289" t="e">
        <f t="shared" si="23"/>
        <v>#REF!</v>
      </c>
      <c r="U128" s="289" t="e">
        <f t="shared" si="23"/>
        <v>#REF!</v>
      </c>
      <c r="V128" s="289" t="e">
        <f t="shared" si="23"/>
        <v>#REF!</v>
      </c>
      <c r="W128" s="289" t="e">
        <f t="shared" si="23"/>
        <v>#REF!</v>
      </c>
      <c r="X128" s="289" t="e">
        <f t="shared" si="23"/>
        <v>#REF!</v>
      </c>
      <c r="Y128" s="289" t="e">
        <f t="shared" si="23"/>
        <v>#REF!</v>
      </c>
      <c r="Z128" s="289" t="e">
        <f t="shared" si="23"/>
        <v>#REF!</v>
      </c>
      <c r="AA128" s="289" t="e">
        <f t="shared" si="23"/>
        <v>#REF!</v>
      </c>
      <c r="AB128" s="289" t="e">
        <f t="shared" si="23"/>
        <v>#REF!</v>
      </c>
      <c r="AC128" s="289" t="e">
        <f t="shared" si="23"/>
        <v>#REF!</v>
      </c>
      <c r="AD128" s="289" t="e">
        <f t="shared" si="23"/>
        <v>#REF!</v>
      </c>
      <c r="AE128" s="289" t="e">
        <f t="shared" si="23"/>
        <v>#REF!</v>
      </c>
      <c r="AF128" s="289" t="e">
        <f t="shared" si="23"/>
        <v>#REF!</v>
      </c>
      <c r="AG128" s="289" t="e">
        <f t="shared" si="23"/>
        <v>#REF!</v>
      </c>
      <c r="AH128" s="289" t="e">
        <f t="shared" si="23"/>
        <v>#REF!</v>
      </c>
      <c r="AI128" s="289" t="e">
        <f t="shared" si="23"/>
        <v>#REF!</v>
      </c>
      <c r="AJ128" s="289" t="e">
        <f t="shared" si="23"/>
        <v>#REF!</v>
      </c>
      <c r="AK128" s="289" t="e">
        <f t="shared" si="23"/>
        <v>#REF!</v>
      </c>
      <c r="AL128" s="290" t="e">
        <f t="shared" si="23"/>
        <v>#REF!</v>
      </c>
    </row>
    <row r="129" spans="1:38" customFormat="1" ht="48" outlineLevel="2">
      <c r="A129" s="309"/>
      <c r="B129" s="306"/>
      <c r="C129" s="310" t="s">
        <v>345</v>
      </c>
      <c r="D129" s="63" t="s">
        <v>353</v>
      </c>
      <c r="E129" s="332" t="s">
        <v>28</v>
      </c>
      <c r="F129" s="333" t="s">
        <v>28</v>
      </c>
      <c r="G129" s="333" t="s">
        <v>28</v>
      </c>
      <c r="H129" s="334" t="s">
        <v>28</v>
      </c>
      <c r="I129" s="289" t="str">
        <f t="shared" ref="I129:AL129" si="24">+IF(H105=0,"N/D",IF(ROUND(I105+I106-H105,2)=0,"OK",ROUND(I105+I106-H105,2)))</f>
        <v>N/D</v>
      </c>
      <c r="J129" s="289" t="str">
        <f t="shared" si="24"/>
        <v>N/D</v>
      </c>
      <c r="K129" s="289" t="str">
        <f t="shared" si="24"/>
        <v>N/D</v>
      </c>
      <c r="L129" s="289" t="str">
        <f t="shared" si="24"/>
        <v>N/D</v>
      </c>
      <c r="M129" s="289" t="str">
        <f t="shared" si="24"/>
        <v>N/D</v>
      </c>
      <c r="N129" s="289" t="e">
        <f t="shared" si="24"/>
        <v>#REF!</v>
      </c>
      <c r="O129" s="289" t="e">
        <f t="shared" si="24"/>
        <v>#REF!</v>
      </c>
      <c r="P129" s="289" t="e">
        <f t="shared" si="24"/>
        <v>#REF!</v>
      </c>
      <c r="Q129" s="289" t="e">
        <f t="shared" si="24"/>
        <v>#REF!</v>
      </c>
      <c r="R129" s="289" t="e">
        <f t="shared" si="24"/>
        <v>#REF!</v>
      </c>
      <c r="S129" s="289" t="e">
        <f t="shared" si="24"/>
        <v>#REF!</v>
      </c>
      <c r="T129" s="289" t="e">
        <f t="shared" si="24"/>
        <v>#REF!</v>
      </c>
      <c r="U129" s="289" t="e">
        <f t="shared" si="24"/>
        <v>#REF!</v>
      </c>
      <c r="V129" s="289" t="e">
        <f t="shared" si="24"/>
        <v>#REF!</v>
      </c>
      <c r="W129" s="289" t="e">
        <f t="shared" si="24"/>
        <v>#REF!</v>
      </c>
      <c r="X129" s="289" t="e">
        <f t="shared" si="24"/>
        <v>#REF!</v>
      </c>
      <c r="Y129" s="289" t="e">
        <f t="shared" si="24"/>
        <v>#REF!</v>
      </c>
      <c r="Z129" s="289" t="e">
        <f t="shared" si="24"/>
        <v>#REF!</v>
      </c>
      <c r="AA129" s="289" t="e">
        <f t="shared" si="24"/>
        <v>#REF!</v>
      </c>
      <c r="AB129" s="289" t="e">
        <f t="shared" si="24"/>
        <v>#REF!</v>
      </c>
      <c r="AC129" s="289" t="e">
        <f t="shared" si="24"/>
        <v>#REF!</v>
      </c>
      <c r="AD129" s="289" t="e">
        <f t="shared" si="24"/>
        <v>#REF!</v>
      </c>
      <c r="AE129" s="289" t="e">
        <f t="shared" si="24"/>
        <v>#REF!</v>
      </c>
      <c r="AF129" s="289" t="e">
        <f t="shared" si="24"/>
        <v>#REF!</v>
      </c>
      <c r="AG129" s="289" t="e">
        <f t="shared" si="24"/>
        <v>#REF!</v>
      </c>
      <c r="AH129" s="289" t="e">
        <f t="shared" si="24"/>
        <v>#REF!</v>
      </c>
      <c r="AI129" s="289" t="e">
        <f t="shared" si="24"/>
        <v>#REF!</v>
      </c>
      <c r="AJ129" s="289" t="e">
        <f t="shared" si="24"/>
        <v>#REF!</v>
      </c>
      <c r="AK129" s="289" t="e">
        <f t="shared" si="24"/>
        <v>#REF!</v>
      </c>
      <c r="AL129" s="290" t="e">
        <f t="shared" si="24"/>
        <v>#REF!</v>
      </c>
    </row>
    <row r="130" spans="1:38" customFormat="1" ht="36" outlineLevel="2">
      <c r="A130" s="309"/>
      <c r="B130" s="306"/>
      <c r="C130" s="310" t="s">
        <v>347</v>
      </c>
      <c r="D130" s="63" t="s">
        <v>346</v>
      </c>
      <c r="E130" s="332" t="s">
        <v>28</v>
      </c>
      <c r="F130" s="333" t="s">
        <v>28</v>
      </c>
      <c r="G130" s="333" t="s">
        <v>28</v>
      </c>
      <c r="H130" s="334" t="s">
        <v>28</v>
      </c>
      <c r="I130" s="288" t="str">
        <f t="shared" ref="I130:AL130" si="25">+IF(H96=0,"N/D",IF(ROUND(I96+(I98+I99+I100+I101)-H96,2)=0,"OK",ROUND(I96+(I98+I99+I100+I101)-H96,2)))</f>
        <v>N/D</v>
      </c>
      <c r="J130" s="289" t="str">
        <f t="shared" si="25"/>
        <v>N/D</v>
      </c>
      <c r="K130" s="289" t="str">
        <f t="shared" si="25"/>
        <v>N/D</v>
      </c>
      <c r="L130" s="289" t="str">
        <f t="shared" si="25"/>
        <v>N/D</v>
      </c>
      <c r="M130" s="289" t="str">
        <f t="shared" si="25"/>
        <v>N/D</v>
      </c>
      <c r="N130" s="289" t="e">
        <f t="shared" si="25"/>
        <v>#REF!</v>
      </c>
      <c r="O130" s="289" t="e">
        <f t="shared" si="25"/>
        <v>#REF!</v>
      </c>
      <c r="P130" s="289" t="e">
        <f t="shared" si="25"/>
        <v>#REF!</v>
      </c>
      <c r="Q130" s="289" t="e">
        <f t="shared" si="25"/>
        <v>#REF!</v>
      </c>
      <c r="R130" s="289" t="e">
        <f t="shared" si="25"/>
        <v>#REF!</v>
      </c>
      <c r="S130" s="289" t="e">
        <f t="shared" si="25"/>
        <v>#REF!</v>
      </c>
      <c r="T130" s="289" t="e">
        <f t="shared" si="25"/>
        <v>#REF!</v>
      </c>
      <c r="U130" s="289" t="e">
        <f t="shared" si="25"/>
        <v>#REF!</v>
      </c>
      <c r="V130" s="289" t="e">
        <f t="shared" si="25"/>
        <v>#REF!</v>
      </c>
      <c r="W130" s="289" t="e">
        <f t="shared" si="25"/>
        <v>#REF!</v>
      </c>
      <c r="X130" s="289" t="e">
        <f t="shared" si="25"/>
        <v>#REF!</v>
      </c>
      <c r="Y130" s="289" t="e">
        <f t="shared" si="25"/>
        <v>#REF!</v>
      </c>
      <c r="Z130" s="289" t="e">
        <f t="shared" si="25"/>
        <v>#REF!</v>
      </c>
      <c r="AA130" s="289" t="e">
        <f t="shared" si="25"/>
        <v>#REF!</v>
      </c>
      <c r="AB130" s="289" t="e">
        <f t="shared" si="25"/>
        <v>#REF!</v>
      </c>
      <c r="AC130" s="289" t="e">
        <f t="shared" si="25"/>
        <v>#REF!</v>
      </c>
      <c r="AD130" s="289" t="e">
        <f t="shared" si="25"/>
        <v>#REF!</v>
      </c>
      <c r="AE130" s="289" t="e">
        <f t="shared" si="25"/>
        <v>#REF!</v>
      </c>
      <c r="AF130" s="289" t="e">
        <f t="shared" si="25"/>
        <v>#REF!</v>
      </c>
      <c r="AG130" s="289" t="e">
        <f t="shared" si="25"/>
        <v>#REF!</v>
      </c>
      <c r="AH130" s="289" t="e">
        <f t="shared" si="25"/>
        <v>#REF!</v>
      </c>
      <c r="AI130" s="289" t="e">
        <f t="shared" si="25"/>
        <v>#REF!</v>
      </c>
      <c r="AJ130" s="289" t="e">
        <f t="shared" si="25"/>
        <v>#REF!</v>
      </c>
      <c r="AK130" s="289" t="e">
        <f t="shared" si="25"/>
        <v>#REF!</v>
      </c>
      <c r="AL130" s="290" t="e">
        <f t="shared" si="25"/>
        <v>#REF!</v>
      </c>
    </row>
    <row r="131" spans="1:38" customFormat="1" outlineLevel="1">
      <c r="A131" s="309"/>
      <c r="B131" s="302"/>
      <c r="C131" s="349" t="s">
        <v>217</v>
      </c>
      <c r="D131" s="64" t="s">
        <v>264</v>
      </c>
      <c r="E131" s="332" t="s">
        <v>28</v>
      </c>
      <c r="F131" s="333" t="s">
        <v>28</v>
      </c>
      <c r="G131" s="333" t="s">
        <v>28</v>
      </c>
      <c r="H131" s="334" t="s">
        <v>28</v>
      </c>
      <c r="I131" s="285" t="str">
        <f t="shared" ref="I131:AL131" si="26">IF(I31&lt;0,IF(ROUND(I34+I36+I38+I40+I31,2)=0,"OK",ROUND(I34+I36+I38+I40+I31,2)),"N/D")</f>
        <v>N/D</v>
      </c>
      <c r="J131" s="286" t="str">
        <f t="shared" si="26"/>
        <v>N/D</v>
      </c>
      <c r="K131" s="286" t="str">
        <f t="shared" si="26"/>
        <v>N/D</v>
      </c>
      <c r="L131" s="286" t="str">
        <f t="shared" si="26"/>
        <v>N/D</v>
      </c>
      <c r="M131" s="286" t="e">
        <f t="shared" si="26"/>
        <v>#REF!</v>
      </c>
      <c r="N131" s="286" t="e">
        <f t="shared" si="26"/>
        <v>#REF!</v>
      </c>
      <c r="O131" s="286" t="e">
        <f t="shared" si="26"/>
        <v>#REF!</v>
      </c>
      <c r="P131" s="286" t="e">
        <f t="shared" si="26"/>
        <v>#REF!</v>
      </c>
      <c r="Q131" s="286" t="e">
        <f t="shared" si="26"/>
        <v>#REF!</v>
      </c>
      <c r="R131" s="286" t="e">
        <f t="shared" si="26"/>
        <v>#REF!</v>
      </c>
      <c r="S131" s="286" t="e">
        <f t="shared" si="26"/>
        <v>#REF!</v>
      </c>
      <c r="T131" s="286" t="e">
        <f t="shared" si="26"/>
        <v>#REF!</v>
      </c>
      <c r="U131" s="286" t="e">
        <f t="shared" si="26"/>
        <v>#REF!</v>
      </c>
      <c r="V131" s="286" t="e">
        <f t="shared" si="26"/>
        <v>#REF!</v>
      </c>
      <c r="W131" s="286" t="e">
        <f t="shared" si="26"/>
        <v>#REF!</v>
      </c>
      <c r="X131" s="286" t="e">
        <f t="shared" si="26"/>
        <v>#REF!</v>
      </c>
      <c r="Y131" s="286" t="e">
        <f t="shared" si="26"/>
        <v>#REF!</v>
      </c>
      <c r="Z131" s="286" t="e">
        <f t="shared" si="26"/>
        <v>#REF!</v>
      </c>
      <c r="AA131" s="286" t="e">
        <f t="shared" si="26"/>
        <v>#REF!</v>
      </c>
      <c r="AB131" s="286" t="e">
        <f t="shared" si="26"/>
        <v>#REF!</v>
      </c>
      <c r="AC131" s="286" t="e">
        <f t="shared" si="26"/>
        <v>#REF!</v>
      </c>
      <c r="AD131" s="286" t="e">
        <f t="shared" si="26"/>
        <v>#REF!</v>
      </c>
      <c r="AE131" s="286" t="e">
        <f t="shared" si="26"/>
        <v>#REF!</v>
      </c>
      <c r="AF131" s="286" t="e">
        <f t="shared" si="26"/>
        <v>#REF!</v>
      </c>
      <c r="AG131" s="286" t="e">
        <f t="shared" si="26"/>
        <v>#REF!</v>
      </c>
      <c r="AH131" s="286" t="e">
        <f t="shared" si="26"/>
        <v>#REF!</v>
      </c>
      <c r="AI131" s="286" t="e">
        <f t="shared" si="26"/>
        <v>#REF!</v>
      </c>
      <c r="AJ131" s="286" t="e">
        <f t="shared" si="26"/>
        <v>#REF!</v>
      </c>
      <c r="AK131" s="286" t="e">
        <f t="shared" si="26"/>
        <v>#REF!</v>
      </c>
      <c r="AL131" s="287" t="e">
        <f t="shared" si="26"/>
        <v>#REF!</v>
      </c>
    </row>
    <row r="132" spans="1:38" customFormat="1" outlineLevel="2">
      <c r="A132" s="309"/>
      <c r="B132" s="302"/>
      <c r="C132" s="349" t="s">
        <v>218</v>
      </c>
      <c r="D132" s="64" t="s">
        <v>265</v>
      </c>
      <c r="E132" s="332" t="s">
        <v>28</v>
      </c>
      <c r="F132" s="333" t="s">
        <v>28</v>
      </c>
      <c r="G132" s="333" t="s">
        <v>28</v>
      </c>
      <c r="H132" s="334" t="s">
        <v>28</v>
      </c>
      <c r="I132" s="285" t="str">
        <f t="shared" ref="I132:AL132" si="27">IF(I31&gt;=0,IF(ROUND(I34+I36+I38+I40,2)=0,"OK",ROUND(I34+I36+I38+I40,2)),"N/D")</f>
        <v>OK</v>
      </c>
      <c r="J132" s="286" t="str">
        <f t="shared" si="27"/>
        <v>OK</v>
      </c>
      <c r="K132" s="286" t="str">
        <f t="shared" si="27"/>
        <v>OK</v>
      </c>
      <c r="L132" s="286" t="str">
        <f t="shared" si="27"/>
        <v>OK</v>
      </c>
      <c r="M132" s="286" t="e">
        <f t="shared" si="27"/>
        <v>#REF!</v>
      </c>
      <c r="N132" s="286" t="e">
        <f t="shared" si="27"/>
        <v>#REF!</v>
      </c>
      <c r="O132" s="286" t="e">
        <f t="shared" si="27"/>
        <v>#REF!</v>
      </c>
      <c r="P132" s="286" t="e">
        <f t="shared" si="27"/>
        <v>#REF!</v>
      </c>
      <c r="Q132" s="286" t="e">
        <f t="shared" si="27"/>
        <v>#REF!</v>
      </c>
      <c r="R132" s="286" t="e">
        <f t="shared" si="27"/>
        <v>#REF!</v>
      </c>
      <c r="S132" s="286" t="e">
        <f t="shared" si="27"/>
        <v>#REF!</v>
      </c>
      <c r="T132" s="286" t="e">
        <f t="shared" si="27"/>
        <v>#REF!</v>
      </c>
      <c r="U132" s="286" t="e">
        <f t="shared" si="27"/>
        <v>#REF!</v>
      </c>
      <c r="V132" s="286" t="e">
        <f t="shared" si="27"/>
        <v>#REF!</v>
      </c>
      <c r="W132" s="286" t="e">
        <f t="shared" si="27"/>
        <v>#REF!</v>
      </c>
      <c r="X132" s="286" t="e">
        <f t="shared" si="27"/>
        <v>#REF!</v>
      </c>
      <c r="Y132" s="286" t="e">
        <f t="shared" si="27"/>
        <v>#REF!</v>
      </c>
      <c r="Z132" s="286" t="e">
        <f t="shared" si="27"/>
        <v>#REF!</v>
      </c>
      <c r="AA132" s="286" t="e">
        <f t="shared" si="27"/>
        <v>#REF!</v>
      </c>
      <c r="AB132" s="286" t="e">
        <f t="shared" si="27"/>
        <v>#REF!</v>
      </c>
      <c r="AC132" s="286" t="e">
        <f t="shared" si="27"/>
        <v>#REF!</v>
      </c>
      <c r="AD132" s="286" t="e">
        <f t="shared" si="27"/>
        <v>#REF!</v>
      </c>
      <c r="AE132" s="286" t="e">
        <f t="shared" si="27"/>
        <v>#REF!</v>
      </c>
      <c r="AF132" s="286" t="e">
        <f t="shared" si="27"/>
        <v>#REF!</v>
      </c>
      <c r="AG132" s="286" t="e">
        <f t="shared" si="27"/>
        <v>#REF!</v>
      </c>
      <c r="AH132" s="286" t="e">
        <f t="shared" si="27"/>
        <v>#REF!</v>
      </c>
      <c r="AI132" s="286" t="e">
        <f t="shared" si="27"/>
        <v>#REF!</v>
      </c>
      <c r="AJ132" s="286" t="e">
        <f t="shared" si="27"/>
        <v>#REF!</v>
      </c>
      <c r="AK132" s="286" t="e">
        <f t="shared" si="27"/>
        <v>#REF!</v>
      </c>
      <c r="AL132" s="287" t="e">
        <f t="shared" si="27"/>
        <v>#REF!</v>
      </c>
    </row>
    <row r="133" spans="1:38" customFormat="1" outlineLevel="2">
      <c r="A133" s="309"/>
      <c r="B133" s="302"/>
      <c r="C133" s="349" t="s">
        <v>219</v>
      </c>
      <c r="D133" s="64" t="s">
        <v>267</v>
      </c>
      <c r="E133" s="332" t="s">
        <v>28</v>
      </c>
      <c r="F133" s="333" t="s">
        <v>28</v>
      </c>
      <c r="G133" s="333" t="s">
        <v>28</v>
      </c>
      <c r="H133" s="334" t="s">
        <v>28</v>
      </c>
      <c r="I133" s="283" t="str">
        <f t="shared" ref="I133:AL133" si="28">IF(I14&gt;=I15,"OK","BŁĄD")</f>
        <v>OK</v>
      </c>
      <c r="J133" s="276" t="str">
        <f t="shared" si="28"/>
        <v>OK</v>
      </c>
      <c r="K133" s="276" t="str">
        <f t="shared" si="28"/>
        <v>OK</v>
      </c>
      <c r="L133" s="276" t="str">
        <f t="shared" si="28"/>
        <v>OK</v>
      </c>
      <c r="M133" s="276" t="e">
        <f t="shared" si="28"/>
        <v>#REF!</v>
      </c>
      <c r="N133" s="276" t="e">
        <f t="shared" si="28"/>
        <v>#REF!</v>
      </c>
      <c r="O133" s="276" t="e">
        <f t="shared" si="28"/>
        <v>#REF!</v>
      </c>
      <c r="P133" s="276" t="e">
        <f t="shared" si="28"/>
        <v>#REF!</v>
      </c>
      <c r="Q133" s="276" t="e">
        <f t="shared" si="28"/>
        <v>#REF!</v>
      </c>
      <c r="R133" s="276" t="e">
        <f t="shared" si="28"/>
        <v>#REF!</v>
      </c>
      <c r="S133" s="276" t="e">
        <f t="shared" si="28"/>
        <v>#REF!</v>
      </c>
      <c r="T133" s="276" t="e">
        <f t="shared" si="28"/>
        <v>#REF!</v>
      </c>
      <c r="U133" s="276" t="e">
        <f t="shared" si="28"/>
        <v>#REF!</v>
      </c>
      <c r="V133" s="276" t="e">
        <f t="shared" si="28"/>
        <v>#REF!</v>
      </c>
      <c r="W133" s="276" t="e">
        <f t="shared" si="28"/>
        <v>#REF!</v>
      </c>
      <c r="X133" s="276" t="e">
        <f t="shared" si="28"/>
        <v>#REF!</v>
      </c>
      <c r="Y133" s="276" t="e">
        <f t="shared" si="28"/>
        <v>#REF!</v>
      </c>
      <c r="Z133" s="276" t="e">
        <f t="shared" si="28"/>
        <v>#REF!</v>
      </c>
      <c r="AA133" s="276" t="e">
        <f t="shared" si="28"/>
        <v>#REF!</v>
      </c>
      <c r="AB133" s="276" t="e">
        <f t="shared" si="28"/>
        <v>#REF!</v>
      </c>
      <c r="AC133" s="276" t="e">
        <f t="shared" si="28"/>
        <v>#REF!</v>
      </c>
      <c r="AD133" s="276" t="e">
        <f t="shared" si="28"/>
        <v>#REF!</v>
      </c>
      <c r="AE133" s="276" t="e">
        <f t="shared" si="28"/>
        <v>#REF!</v>
      </c>
      <c r="AF133" s="276" t="e">
        <f t="shared" si="28"/>
        <v>#REF!</v>
      </c>
      <c r="AG133" s="276" t="e">
        <f t="shared" si="28"/>
        <v>#REF!</v>
      </c>
      <c r="AH133" s="276" t="e">
        <f t="shared" si="28"/>
        <v>#REF!</v>
      </c>
      <c r="AI133" s="276" t="e">
        <f t="shared" si="28"/>
        <v>#REF!</v>
      </c>
      <c r="AJ133" s="276" t="e">
        <f t="shared" si="28"/>
        <v>#REF!</v>
      </c>
      <c r="AK133" s="276" t="e">
        <f t="shared" si="28"/>
        <v>#REF!</v>
      </c>
      <c r="AL133" s="277" t="e">
        <f t="shared" si="28"/>
        <v>#REF!</v>
      </c>
    </row>
    <row r="134" spans="1:38" customFormat="1" outlineLevel="2">
      <c r="A134" s="309"/>
      <c r="B134" s="302"/>
      <c r="C134" s="349" t="s">
        <v>220</v>
      </c>
      <c r="D134" s="64" t="s">
        <v>268</v>
      </c>
      <c r="E134" s="332" t="s">
        <v>28</v>
      </c>
      <c r="F134" s="333" t="s">
        <v>28</v>
      </c>
      <c r="G134" s="333" t="s">
        <v>28</v>
      </c>
      <c r="H134" s="334" t="s">
        <v>28</v>
      </c>
      <c r="I134" s="283" t="str">
        <f t="shared" ref="I134:AL134" si="29">IF(I17&gt;=I97,"OK","BŁĄD")</f>
        <v>OK</v>
      </c>
      <c r="J134" s="276" t="str">
        <f t="shared" si="29"/>
        <v>OK</v>
      </c>
      <c r="K134" s="276" t="str">
        <f t="shared" si="29"/>
        <v>OK</v>
      </c>
      <c r="L134" s="276" t="str">
        <f t="shared" si="29"/>
        <v>OK</v>
      </c>
      <c r="M134" s="276" t="e">
        <f t="shared" si="29"/>
        <v>#REF!</v>
      </c>
      <c r="N134" s="276" t="e">
        <f t="shared" si="29"/>
        <v>#REF!</v>
      </c>
      <c r="O134" s="276" t="e">
        <f t="shared" si="29"/>
        <v>#REF!</v>
      </c>
      <c r="P134" s="276" t="e">
        <f t="shared" si="29"/>
        <v>#REF!</v>
      </c>
      <c r="Q134" s="276" t="e">
        <f t="shared" si="29"/>
        <v>#REF!</v>
      </c>
      <c r="R134" s="276" t="e">
        <f t="shared" si="29"/>
        <v>#REF!</v>
      </c>
      <c r="S134" s="276" t="e">
        <f t="shared" si="29"/>
        <v>#REF!</v>
      </c>
      <c r="T134" s="276" t="e">
        <f t="shared" si="29"/>
        <v>#REF!</v>
      </c>
      <c r="U134" s="276" t="e">
        <f t="shared" si="29"/>
        <v>#REF!</v>
      </c>
      <c r="V134" s="276" t="e">
        <f t="shared" si="29"/>
        <v>#REF!</v>
      </c>
      <c r="W134" s="276" t="e">
        <f t="shared" si="29"/>
        <v>#REF!</v>
      </c>
      <c r="X134" s="276" t="e">
        <f t="shared" si="29"/>
        <v>#REF!</v>
      </c>
      <c r="Y134" s="276" t="e">
        <f t="shared" si="29"/>
        <v>#REF!</v>
      </c>
      <c r="Z134" s="276" t="e">
        <f t="shared" si="29"/>
        <v>#REF!</v>
      </c>
      <c r="AA134" s="276" t="e">
        <f t="shared" si="29"/>
        <v>#REF!</v>
      </c>
      <c r="AB134" s="276" t="e">
        <f t="shared" si="29"/>
        <v>#REF!</v>
      </c>
      <c r="AC134" s="276" t="e">
        <f t="shared" si="29"/>
        <v>#REF!</v>
      </c>
      <c r="AD134" s="276" t="e">
        <f t="shared" si="29"/>
        <v>#REF!</v>
      </c>
      <c r="AE134" s="276" t="e">
        <f t="shared" si="29"/>
        <v>#REF!</v>
      </c>
      <c r="AF134" s="276" t="e">
        <f t="shared" si="29"/>
        <v>#REF!</v>
      </c>
      <c r="AG134" s="276" t="e">
        <f t="shared" si="29"/>
        <v>#REF!</v>
      </c>
      <c r="AH134" s="276" t="e">
        <f t="shared" si="29"/>
        <v>#REF!</v>
      </c>
      <c r="AI134" s="276" t="e">
        <f t="shared" si="29"/>
        <v>#REF!</v>
      </c>
      <c r="AJ134" s="276" t="e">
        <f t="shared" si="29"/>
        <v>#REF!</v>
      </c>
      <c r="AK134" s="276" t="e">
        <f t="shared" si="29"/>
        <v>#REF!</v>
      </c>
      <c r="AL134" s="277" t="e">
        <f t="shared" si="29"/>
        <v>#REF!</v>
      </c>
    </row>
    <row r="135" spans="1:38" customFormat="1" outlineLevel="2">
      <c r="A135" s="309"/>
      <c r="B135" s="302"/>
      <c r="C135" s="349" t="s">
        <v>221</v>
      </c>
      <c r="D135" s="64" t="s">
        <v>269</v>
      </c>
      <c r="E135" s="332" t="s">
        <v>28</v>
      </c>
      <c r="F135" s="333" t="s">
        <v>28</v>
      </c>
      <c r="G135" s="333" t="s">
        <v>28</v>
      </c>
      <c r="H135" s="334" t="s">
        <v>28</v>
      </c>
      <c r="I135" s="283" t="str">
        <f t="shared" ref="I135:AL135" si="30">IF(I11&gt;=I12+I13+I14+I16+I17,"OK","BŁĄD")</f>
        <v>OK</v>
      </c>
      <c r="J135" s="276" t="str">
        <f t="shared" si="30"/>
        <v>OK</v>
      </c>
      <c r="K135" s="276" t="str">
        <f t="shared" si="30"/>
        <v>OK</v>
      </c>
      <c r="L135" s="276" t="str">
        <f t="shared" si="30"/>
        <v>OK</v>
      </c>
      <c r="M135" s="276" t="e">
        <f t="shared" si="30"/>
        <v>#REF!</v>
      </c>
      <c r="N135" s="276" t="e">
        <f t="shared" si="30"/>
        <v>#REF!</v>
      </c>
      <c r="O135" s="276" t="e">
        <f t="shared" si="30"/>
        <v>#REF!</v>
      </c>
      <c r="P135" s="276" t="e">
        <f t="shared" si="30"/>
        <v>#REF!</v>
      </c>
      <c r="Q135" s="276" t="e">
        <f t="shared" si="30"/>
        <v>#REF!</v>
      </c>
      <c r="R135" s="276" t="e">
        <f t="shared" si="30"/>
        <v>#REF!</v>
      </c>
      <c r="S135" s="276" t="e">
        <f t="shared" si="30"/>
        <v>#REF!</v>
      </c>
      <c r="T135" s="276" t="e">
        <f t="shared" si="30"/>
        <v>#REF!</v>
      </c>
      <c r="U135" s="276" t="e">
        <f t="shared" si="30"/>
        <v>#REF!</v>
      </c>
      <c r="V135" s="276" t="e">
        <f t="shared" si="30"/>
        <v>#REF!</v>
      </c>
      <c r="W135" s="276" t="e">
        <f t="shared" si="30"/>
        <v>#REF!</v>
      </c>
      <c r="X135" s="276" t="e">
        <f t="shared" si="30"/>
        <v>#REF!</v>
      </c>
      <c r="Y135" s="276" t="e">
        <f t="shared" si="30"/>
        <v>#REF!</v>
      </c>
      <c r="Z135" s="276" t="e">
        <f t="shared" si="30"/>
        <v>#REF!</v>
      </c>
      <c r="AA135" s="276" t="e">
        <f t="shared" si="30"/>
        <v>#REF!</v>
      </c>
      <c r="AB135" s="276" t="e">
        <f t="shared" si="30"/>
        <v>#REF!</v>
      </c>
      <c r="AC135" s="276" t="e">
        <f t="shared" si="30"/>
        <v>#REF!</v>
      </c>
      <c r="AD135" s="276" t="e">
        <f t="shared" si="30"/>
        <v>#REF!</v>
      </c>
      <c r="AE135" s="276" t="e">
        <f t="shared" si="30"/>
        <v>#REF!</v>
      </c>
      <c r="AF135" s="276" t="e">
        <f t="shared" si="30"/>
        <v>#REF!</v>
      </c>
      <c r="AG135" s="276" t="e">
        <f t="shared" si="30"/>
        <v>#REF!</v>
      </c>
      <c r="AH135" s="276" t="e">
        <f t="shared" si="30"/>
        <v>#REF!</v>
      </c>
      <c r="AI135" s="276" t="e">
        <f t="shared" si="30"/>
        <v>#REF!</v>
      </c>
      <c r="AJ135" s="276" t="e">
        <f t="shared" si="30"/>
        <v>#REF!</v>
      </c>
      <c r="AK135" s="276" t="e">
        <f t="shared" si="30"/>
        <v>#REF!</v>
      </c>
      <c r="AL135" s="277" t="e">
        <f t="shared" si="30"/>
        <v>#REF!</v>
      </c>
    </row>
    <row r="136" spans="1:38" customFormat="1" outlineLevel="2">
      <c r="A136" s="309"/>
      <c r="B136" s="302"/>
      <c r="C136" s="349" t="s">
        <v>222</v>
      </c>
      <c r="D136" s="64" t="s">
        <v>270</v>
      </c>
      <c r="E136" s="332" t="s">
        <v>28</v>
      </c>
      <c r="F136" s="333" t="s">
        <v>28</v>
      </c>
      <c r="G136" s="333" t="s">
        <v>28</v>
      </c>
      <c r="H136" s="334" t="s">
        <v>28</v>
      </c>
      <c r="I136" s="283" t="str">
        <f t="shared" ref="I136:AL136" si="31">IF(I11&gt;=I75,"OK","BŁĄD")</f>
        <v>OK</v>
      </c>
      <c r="J136" s="276" t="str">
        <f t="shared" si="31"/>
        <v>OK</v>
      </c>
      <c r="K136" s="276" t="str">
        <f t="shared" si="31"/>
        <v>OK</v>
      </c>
      <c r="L136" s="276" t="str">
        <f t="shared" si="31"/>
        <v>OK</v>
      </c>
      <c r="M136" s="276" t="e">
        <f t="shared" si="31"/>
        <v>#REF!</v>
      </c>
      <c r="N136" s="276" t="e">
        <f t="shared" si="31"/>
        <v>#REF!</v>
      </c>
      <c r="O136" s="276" t="e">
        <f t="shared" si="31"/>
        <v>#REF!</v>
      </c>
      <c r="P136" s="276" t="e">
        <f t="shared" si="31"/>
        <v>#REF!</v>
      </c>
      <c r="Q136" s="276" t="e">
        <f t="shared" si="31"/>
        <v>#REF!</v>
      </c>
      <c r="R136" s="276" t="e">
        <f t="shared" si="31"/>
        <v>#REF!</v>
      </c>
      <c r="S136" s="276" t="e">
        <f t="shared" si="31"/>
        <v>#REF!</v>
      </c>
      <c r="T136" s="276" t="e">
        <f t="shared" si="31"/>
        <v>#REF!</v>
      </c>
      <c r="U136" s="276" t="e">
        <f t="shared" si="31"/>
        <v>#REF!</v>
      </c>
      <c r="V136" s="276" t="e">
        <f t="shared" si="31"/>
        <v>#REF!</v>
      </c>
      <c r="W136" s="276" t="e">
        <f t="shared" si="31"/>
        <v>#REF!</v>
      </c>
      <c r="X136" s="276" t="e">
        <f t="shared" si="31"/>
        <v>#REF!</v>
      </c>
      <c r="Y136" s="276" t="e">
        <f t="shared" si="31"/>
        <v>#REF!</v>
      </c>
      <c r="Z136" s="276" t="e">
        <f t="shared" si="31"/>
        <v>#REF!</v>
      </c>
      <c r="AA136" s="276" t="e">
        <f t="shared" si="31"/>
        <v>#REF!</v>
      </c>
      <c r="AB136" s="276" t="e">
        <f t="shared" si="31"/>
        <v>#REF!</v>
      </c>
      <c r="AC136" s="276" t="e">
        <f t="shared" si="31"/>
        <v>#REF!</v>
      </c>
      <c r="AD136" s="276" t="e">
        <f t="shared" si="31"/>
        <v>#REF!</v>
      </c>
      <c r="AE136" s="276" t="e">
        <f t="shared" si="31"/>
        <v>#REF!</v>
      </c>
      <c r="AF136" s="276" t="e">
        <f t="shared" si="31"/>
        <v>#REF!</v>
      </c>
      <c r="AG136" s="276" t="e">
        <f t="shared" si="31"/>
        <v>#REF!</v>
      </c>
      <c r="AH136" s="276" t="e">
        <f t="shared" si="31"/>
        <v>#REF!</v>
      </c>
      <c r="AI136" s="276" t="e">
        <f t="shared" si="31"/>
        <v>#REF!</v>
      </c>
      <c r="AJ136" s="276" t="e">
        <f t="shared" si="31"/>
        <v>#REF!</v>
      </c>
      <c r="AK136" s="276" t="e">
        <f t="shared" si="31"/>
        <v>#REF!</v>
      </c>
      <c r="AL136" s="277" t="e">
        <f t="shared" si="31"/>
        <v>#REF!</v>
      </c>
    </row>
    <row r="137" spans="1:38" customFormat="1" outlineLevel="2">
      <c r="A137" s="309"/>
      <c r="B137" s="302"/>
      <c r="C137" s="349" t="s">
        <v>223</v>
      </c>
      <c r="D137" s="64" t="s">
        <v>271</v>
      </c>
      <c r="E137" s="332" t="s">
        <v>28</v>
      </c>
      <c r="F137" s="333" t="s">
        <v>28</v>
      </c>
      <c r="G137" s="333" t="s">
        <v>28</v>
      </c>
      <c r="H137" s="334" t="s">
        <v>28</v>
      </c>
      <c r="I137" s="283" t="str">
        <f t="shared" ref="I137:AL137" si="32">IF(I18&gt;=I19,"OK","BŁĄD")</f>
        <v>OK</v>
      </c>
      <c r="J137" s="276" t="str">
        <f t="shared" si="32"/>
        <v>OK</v>
      </c>
      <c r="K137" s="276" t="str">
        <f t="shared" si="32"/>
        <v>OK</v>
      </c>
      <c r="L137" s="276" t="str">
        <f t="shared" si="32"/>
        <v>OK</v>
      </c>
      <c r="M137" s="276" t="e">
        <f t="shared" si="32"/>
        <v>#REF!</v>
      </c>
      <c r="N137" s="276" t="e">
        <f t="shared" si="32"/>
        <v>#REF!</v>
      </c>
      <c r="O137" s="276" t="e">
        <f t="shared" si="32"/>
        <v>#REF!</v>
      </c>
      <c r="P137" s="276" t="e">
        <f t="shared" si="32"/>
        <v>#REF!</v>
      </c>
      <c r="Q137" s="276" t="e">
        <f t="shared" si="32"/>
        <v>#REF!</v>
      </c>
      <c r="R137" s="276" t="e">
        <f t="shared" si="32"/>
        <v>#REF!</v>
      </c>
      <c r="S137" s="276" t="e">
        <f t="shared" si="32"/>
        <v>#REF!</v>
      </c>
      <c r="T137" s="276" t="e">
        <f t="shared" si="32"/>
        <v>#REF!</v>
      </c>
      <c r="U137" s="276" t="e">
        <f t="shared" si="32"/>
        <v>#REF!</v>
      </c>
      <c r="V137" s="276" t="e">
        <f t="shared" si="32"/>
        <v>#REF!</v>
      </c>
      <c r="W137" s="276" t="e">
        <f t="shared" si="32"/>
        <v>#REF!</v>
      </c>
      <c r="X137" s="276" t="e">
        <f t="shared" si="32"/>
        <v>#REF!</v>
      </c>
      <c r="Y137" s="276" t="e">
        <f t="shared" si="32"/>
        <v>#REF!</v>
      </c>
      <c r="Z137" s="276" t="e">
        <f t="shared" si="32"/>
        <v>#REF!</v>
      </c>
      <c r="AA137" s="276" t="e">
        <f t="shared" si="32"/>
        <v>#REF!</v>
      </c>
      <c r="AB137" s="276" t="e">
        <f t="shared" si="32"/>
        <v>#REF!</v>
      </c>
      <c r="AC137" s="276" t="e">
        <f t="shared" si="32"/>
        <v>#REF!</v>
      </c>
      <c r="AD137" s="276" t="e">
        <f t="shared" si="32"/>
        <v>#REF!</v>
      </c>
      <c r="AE137" s="276" t="e">
        <f t="shared" si="32"/>
        <v>#REF!</v>
      </c>
      <c r="AF137" s="276" t="e">
        <f t="shared" si="32"/>
        <v>#REF!</v>
      </c>
      <c r="AG137" s="276" t="e">
        <f t="shared" si="32"/>
        <v>#REF!</v>
      </c>
      <c r="AH137" s="276" t="e">
        <f t="shared" si="32"/>
        <v>#REF!</v>
      </c>
      <c r="AI137" s="276" t="e">
        <f t="shared" si="32"/>
        <v>#REF!</v>
      </c>
      <c r="AJ137" s="276" t="e">
        <f t="shared" si="32"/>
        <v>#REF!</v>
      </c>
      <c r="AK137" s="276" t="e">
        <f t="shared" si="32"/>
        <v>#REF!</v>
      </c>
      <c r="AL137" s="277" t="e">
        <f t="shared" si="32"/>
        <v>#REF!</v>
      </c>
    </row>
    <row r="138" spans="1:38" customFormat="1" outlineLevel="2">
      <c r="A138" s="309"/>
      <c r="B138" s="302"/>
      <c r="C138" s="349" t="s">
        <v>224</v>
      </c>
      <c r="D138" s="64" t="s">
        <v>272</v>
      </c>
      <c r="E138" s="332" t="s">
        <v>28</v>
      </c>
      <c r="F138" s="333" t="s">
        <v>28</v>
      </c>
      <c r="G138" s="333" t="s">
        <v>28</v>
      </c>
      <c r="H138" s="334" t="s">
        <v>28</v>
      </c>
      <c r="I138" s="283" t="str">
        <f t="shared" ref="I138:AL138" si="33">IF(I18&gt;=I20,"OK","BŁĄD")</f>
        <v>OK</v>
      </c>
      <c r="J138" s="276" t="str">
        <f t="shared" si="33"/>
        <v>OK</v>
      </c>
      <c r="K138" s="276" t="str">
        <f t="shared" si="33"/>
        <v>OK</v>
      </c>
      <c r="L138" s="276" t="str">
        <f t="shared" si="33"/>
        <v>OK</v>
      </c>
      <c r="M138" s="276" t="e">
        <f t="shared" si="33"/>
        <v>#REF!</v>
      </c>
      <c r="N138" s="276" t="e">
        <f t="shared" si="33"/>
        <v>#REF!</v>
      </c>
      <c r="O138" s="276" t="e">
        <f t="shared" si="33"/>
        <v>#REF!</v>
      </c>
      <c r="P138" s="276" t="e">
        <f t="shared" si="33"/>
        <v>#REF!</v>
      </c>
      <c r="Q138" s="276" t="e">
        <f t="shared" si="33"/>
        <v>#REF!</v>
      </c>
      <c r="R138" s="276" t="e">
        <f t="shared" si="33"/>
        <v>#REF!</v>
      </c>
      <c r="S138" s="276" t="e">
        <f t="shared" si="33"/>
        <v>#REF!</v>
      </c>
      <c r="T138" s="276" t="e">
        <f t="shared" si="33"/>
        <v>#REF!</v>
      </c>
      <c r="U138" s="276" t="e">
        <f t="shared" si="33"/>
        <v>#REF!</v>
      </c>
      <c r="V138" s="276" t="e">
        <f t="shared" si="33"/>
        <v>#REF!</v>
      </c>
      <c r="W138" s="276" t="e">
        <f t="shared" si="33"/>
        <v>#REF!</v>
      </c>
      <c r="X138" s="276" t="e">
        <f t="shared" si="33"/>
        <v>#REF!</v>
      </c>
      <c r="Y138" s="276" t="e">
        <f t="shared" si="33"/>
        <v>#REF!</v>
      </c>
      <c r="Z138" s="276" t="e">
        <f t="shared" si="33"/>
        <v>#REF!</v>
      </c>
      <c r="AA138" s="276" t="e">
        <f t="shared" si="33"/>
        <v>#REF!</v>
      </c>
      <c r="AB138" s="276" t="e">
        <f t="shared" si="33"/>
        <v>#REF!</v>
      </c>
      <c r="AC138" s="276" t="e">
        <f t="shared" si="33"/>
        <v>#REF!</v>
      </c>
      <c r="AD138" s="276" t="e">
        <f t="shared" si="33"/>
        <v>#REF!</v>
      </c>
      <c r="AE138" s="276" t="e">
        <f t="shared" si="33"/>
        <v>#REF!</v>
      </c>
      <c r="AF138" s="276" t="e">
        <f t="shared" si="33"/>
        <v>#REF!</v>
      </c>
      <c r="AG138" s="276" t="e">
        <f t="shared" si="33"/>
        <v>#REF!</v>
      </c>
      <c r="AH138" s="276" t="e">
        <f t="shared" si="33"/>
        <v>#REF!</v>
      </c>
      <c r="AI138" s="276" t="e">
        <f t="shared" si="33"/>
        <v>#REF!</v>
      </c>
      <c r="AJ138" s="276" t="e">
        <f t="shared" si="33"/>
        <v>#REF!</v>
      </c>
      <c r="AK138" s="276" t="e">
        <f t="shared" si="33"/>
        <v>#REF!</v>
      </c>
      <c r="AL138" s="277" t="e">
        <f t="shared" si="33"/>
        <v>#REF!</v>
      </c>
    </row>
    <row r="139" spans="1:38" customFormat="1" outlineLevel="2">
      <c r="A139" s="309"/>
      <c r="B139" s="302"/>
      <c r="C139" s="349" t="s">
        <v>225</v>
      </c>
      <c r="D139" s="64" t="s">
        <v>273</v>
      </c>
      <c r="E139" s="332" t="s">
        <v>28</v>
      </c>
      <c r="F139" s="333" t="s">
        <v>28</v>
      </c>
      <c r="G139" s="333" t="s">
        <v>28</v>
      </c>
      <c r="H139" s="334" t="s">
        <v>28</v>
      </c>
      <c r="I139" s="283" t="str">
        <f t="shared" ref="I139:AL139" si="34">IF(I18&gt;=I78,"OK","BŁĄD")</f>
        <v>OK</v>
      </c>
      <c r="J139" s="276" t="str">
        <f t="shared" si="34"/>
        <v>OK</v>
      </c>
      <c r="K139" s="276" t="str">
        <f t="shared" si="34"/>
        <v>OK</v>
      </c>
      <c r="L139" s="276" t="str">
        <f t="shared" si="34"/>
        <v>OK</v>
      </c>
      <c r="M139" s="276" t="e">
        <f t="shared" si="34"/>
        <v>#REF!</v>
      </c>
      <c r="N139" s="276" t="e">
        <f t="shared" si="34"/>
        <v>#REF!</v>
      </c>
      <c r="O139" s="276" t="e">
        <f t="shared" si="34"/>
        <v>#REF!</v>
      </c>
      <c r="P139" s="276" t="e">
        <f t="shared" si="34"/>
        <v>#REF!</v>
      </c>
      <c r="Q139" s="276" t="e">
        <f t="shared" si="34"/>
        <v>#REF!</v>
      </c>
      <c r="R139" s="276" t="e">
        <f t="shared" si="34"/>
        <v>#REF!</v>
      </c>
      <c r="S139" s="276" t="e">
        <f t="shared" si="34"/>
        <v>#REF!</v>
      </c>
      <c r="T139" s="276" t="e">
        <f t="shared" si="34"/>
        <v>#REF!</v>
      </c>
      <c r="U139" s="276" t="e">
        <f t="shared" si="34"/>
        <v>#REF!</v>
      </c>
      <c r="V139" s="276" t="e">
        <f t="shared" si="34"/>
        <v>#REF!</v>
      </c>
      <c r="W139" s="276" t="e">
        <f t="shared" si="34"/>
        <v>#REF!</v>
      </c>
      <c r="X139" s="276" t="e">
        <f t="shared" si="34"/>
        <v>#REF!</v>
      </c>
      <c r="Y139" s="276" t="e">
        <f t="shared" si="34"/>
        <v>#REF!</v>
      </c>
      <c r="Z139" s="276" t="e">
        <f t="shared" si="34"/>
        <v>#REF!</v>
      </c>
      <c r="AA139" s="276" t="e">
        <f t="shared" si="34"/>
        <v>#REF!</v>
      </c>
      <c r="AB139" s="276" t="e">
        <f t="shared" si="34"/>
        <v>#REF!</v>
      </c>
      <c r="AC139" s="276" t="e">
        <f t="shared" si="34"/>
        <v>#REF!</v>
      </c>
      <c r="AD139" s="276" t="e">
        <f t="shared" si="34"/>
        <v>#REF!</v>
      </c>
      <c r="AE139" s="276" t="e">
        <f t="shared" si="34"/>
        <v>#REF!</v>
      </c>
      <c r="AF139" s="276" t="e">
        <f t="shared" si="34"/>
        <v>#REF!</v>
      </c>
      <c r="AG139" s="276" t="e">
        <f t="shared" si="34"/>
        <v>#REF!</v>
      </c>
      <c r="AH139" s="276" t="e">
        <f t="shared" si="34"/>
        <v>#REF!</v>
      </c>
      <c r="AI139" s="276" t="e">
        <f t="shared" si="34"/>
        <v>#REF!</v>
      </c>
      <c r="AJ139" s="276" t="e">
        <f t="shared" si="34"/>
        <v>#REF!</v>
      </c>
      <c r="AK139" s="276" t="e">
        <f t="shared" si="34"/>
        <v>#REF!</v>
      </c>
      <c r="AL139" s="277" t="e">
        <f t="shared" si="34"/>
        <v>#REF!</v>
      </c>
    </row>
    <row r="140" spans="1:38" customFormat="1" outlineLevel="2">
      <c r="A140" s="309"/>
      <c r="B140" s="302"/>
      <c r="C140" s="349"/>
      <c r="D140" s="64" t="s">
        <v>357</v>
      </c>
      <c r="E140" s="332" t="s">
        <v>28</v>
      </c>
      <c r="F140" s="333" t="s">
        <v>28</v>
      </c>
      <c r="G140" s="333" t="s">
        <v>28</v>
      </c>
      <c r="H140" s="334" t="s">
        <v>28</v>
      </c>
      <c r="I140" s="283" t="str">
        <f t="shared" ref="I140:AL140" si="35">+IF(I31&gt;0,IF(I31=I63,"OK","Błąd"),"N/D")</f>
        <v>Błąd</v>
      </c>
      <c r="J140" s="283" t="str">
        <f t="shared" si="35"/>
        <v>N/D</v>
      </c>
      <c r="K140" s="283" t="str">
        <f t="shared" si="35"/>
        <v>N/D</v>
      </c>
      <c r="L140" s="283" t="str">
        <f t="shared" si="35"/>
        <v>N/D</v>
      </c>
      <c r="M140" s="283" t="e">
        <f t="shared" si="35"/>
        <v>#REF!</v>
      </c>
      <c r="N140" s="283" t="e">
        <f t="shared" si="35"/>
        <v>#REF!</v>
      </c>
      <c r="O140" s="283" t="e">
        <f t="shared" si="35"/>
        <v>#REF!</v>
      </c>
      <c r="P140" s="283" t="e">
        <f t="shared" si="35"/>
        <v>#REF!</v>
      </c>
      <c r="Q140" s="283" t="e">
        <f t="shared" si="35"/>
        <v>#REF!</v>
      </c>
      <c r="R140" s="283" t="e">
        <f t="shared" si="35"/>
        <v>#REF!</v>
      </c>
      <c r="S140" s="283" t="e">
        <f t="shared" si="35"/>
        <v>#REF!</v>
      </c>
      <c r="T140" s="283" t="e">
        <f t="shared" si="35"/>
        <v>#REF!</v>
      </c>
      <c r="U140" s="283" t="e">
        <f t="shared" si="35"/>
        <v>#REF!</v>
      </c>
      <c r="V140" s="283" t="e">
        <f t="shared" si="35"/>
        <v>#REF!</v>
      </c>
      <c r="W140" s="283" t="e">
        <f t="shared" si="35"/>
        <v>#REF!</v>
      </c>
      <c r="X140" s="283" t="e">
        <f t="shared" si="35"/>
        <v>#REF!</v>
      </c>
      <c r="Y140" s="283" t="e">
        <f t="shared" si="35"/>
        <v>#REF!</v>
      </c>
      <c r="Z140" s="283" t="e">
        <f t="shared" si="35"/>
        <v>#REF!</v>
      </c>
      <c r="AA140" s="283" t="e">
        <f t="shared" si="35"/>
        <v>#REF!</v>
      </c>
      <c r="AB140" s="283" t="e">
        <f t="shared" si="35"/>
        <v>#REF!</v>
      </c>
      <c r="AC140" s="283" t="e">
        <f t="shared" si="35"/>
        <v>#REF!</v>
      </c>
      <c r="AD140" s="283" t="e">
        <f t="shared" si="35"/>
        <v>#REF!</v>
      </c>
      <c r="AE140" s="283" t="e">
        <f t="shared" si="35"/>
        <v>#REF!</v>
      </c>
      <c r="AF140" s="283" t="e">
        <f t="shared" si="35"/>
        <v>#REF!</v>
      </c>
      <c r="AG140" s="283" t="e">
        <f t="shared" si="35"/>
        <v>#REF!</v>
      </c>
      <c r="AH140" s="283" t="e">
        <f t="shared" si="35"/>
        <v>#REF!</v>
      </c>
      <c r="AI140" s="283" t="e">
        <f t="shared" si="35"/>
        <v>#REF!</v>
      </c>
      <c r="AJ140" s="283" t="e">
        <f t="shared" si="35"/>
        <v>#REF!</v>
      </c>
      <c r="AK140" s="283" t="e">
        <f t="shared" si="35"/>
        <v>#REF!</v>
      </c>
      <c r="AL140" s="283" t="e">
        <f t="shared" si="35"/>
        <v>#REF!</v>
      </c>
    </row>
    <row r="141" spans="1:38" customFormat="1" outlineLevel="2">
      <c r="A141" s="309"/>
      <c r="B141" s="302"/>
      <c r="C141" s="349" t="s">
        <v>226</v>
      </c>
      <c r="D141" s="64" t="s">
        <v>274</v>
      </c>
      <c r="E141" s="332" t="s">
        <v>28</v>
      </c>
      <c r="F141" s="333" t="s">
        <v>28</v>
      </c>
      <c r="G141" s="333" t="s">
        <v>28</v>
      </c>
      <c r="H141" s="334" t="s">
        <v>28</v>
      </c>
      <c r="I141" s="283" t="str">
        <f t="shared" ref="I141:AL141" si="36">IF(I63&gt;=I64,"OK","BŁĄD")</f>
        <v>OK</v>
      </c>
      <c r="J141" s="276" t="str">
        <f t="shared" si="36"/>
        <v>OK</v>
      </c>
      <c r="K141" s="276" t="str">
        <f t="shared" si="36"/>
        <v>OK</v>
      </c>
      <c r="L141" s="276" t="str">
        <f t="shared" si="36"/>
        <v>OK</v>
      </c>
      <c r="M141" s="276" t="e">
        <f t="shared" si="36"/>
        <v>#REF!</v>
      </c>
      <c r="N141" s="276" t="e">
        <f t="shared" si="36"/>
        <v>#REF!</v>
      </c>
      <c r="O141" s="276" t="e">
        <f t="shared" si="36"/>
        <v>#REF!</v>
      </c>
      <c r="P141" s="276" t="e">
        <f t="shared" si="36"/>
        <v>#REF!</v>
      </c>
      <c r="Q141" s="276" t="e">
        <f t="shared" si="36"/>
        <v>#REF!</v>
      </c>
      <c r="R141" s="276" t="e">
        <f t="shared" si="36"/>
        <v>#REF!</v>
      </c>
      <c r="S141" s="276" t="e">
        <f t="shared" si="36"/>
        <v>#REF!</v>
      </c>
      <c r="T141" s="276" t="e">
        <f t="shared" si="36"/>
        <v>#REF!</v>
      </c>
      <c r="U141" s="276" t="e">
        <f t="shared" si="36"/>
        <v>#REF!</v>
      </c>
      <c r="V141" s="276" t="e">
        <f t="shared" si="36"/>
        <v>#REF!</v>
      </c>
      <c r="W141" s="276" t="e">
        <f t="shared" si="36"/>
        <v>#REF!</v>
      </c>
      <c r="X141" s="276" t="e">
        <f t="shared" si="36"/>
        <v>#REF!</v>
      </c>
      <c r="Y141" s="276" t="e">
        <f t="shared" si="36"/>
        <v>#REF!</v>
      </c>
      <c r="Z141" s="276" t="e">
        <f t="shared" si="36"/>
        <v>#REF!</v>
      </c>
      <c r="AA141" s="276" t="e">
        <f t="shared" si="36"/>
        <v>#REF!</v>
      </c>
      <c r="AB141" s="276" t="e">
        <f t="shared" si="36"/>
        <v>#REF!</v>
      </c>
      <c r="AC141" s="276" t="e">
        <f t="shared" si="36"/>
        <v>#REF!</v>
      </c>
      <c r="AD141" s="276" t="e">
        <f t="shared" si="36"/>
        <v>#REF!</v>
      </c>
      <c r="AE141" s="276" t="e">
        <f t="shared" si="36"/>
        <v>#REF!</v>
      </c>
      <c r="AF141" s="276" t="e">
        <f t="shared" si="36"/>
        <v>#REF!</v>
      </c>
      <c r="AG141" s="276" t="e">
        <f t="shared" si="36"/>
        <v>#REF!</v>
      </c>
      <c r="AH141" s="276" t="e">
        <f t="shared" si="36"/>
        <v>#REF!</v>
      </c>
      <c r="AI141" s="276" t="e">
        <f t="shared" si="36"/>
        <v>#REF!</v>
      </c>
      <c r="AJ141" s="276" t="e">
        <f t="shared" si="36"/>
        <v>#REF!</v>
      </c>
      <c r="AK141" s="276" t="e">
        <f t="shared" si="36"/>
        <v>#REF!</v>
      </c>
      <c r="AL141" s="277" t="e">
        <f t="shared" si="36"/>
        <v>#REF!</v>
      </c>
    </row>
    <row r="142" spans="1:38" customFormat="1" outlineLevel="2">
      <c r="A142" s="309"/>
      <c r="B142" s="298"/>
      <c r="C142" s="349" t="s">
        <v>356</v>
      </c>
      <c r="D142" s="64" t="s">
        <v>355</v>
      </c>
      <c r="E142" s="332" t="s">
        <v>28</v>
      </c>
      <c r="F142" s="333" t="s">
        <v>28</v>
      </c>
      <c r="G142" s="333" t="s">
        <v>28</v>
      </c>
      <c r="H142" s="334" t="s">
        <v>28</v>
      </c>
      <c r="I142" s="283" t="str">
        <f t="shared" ref="I142:AL142" si="37">IF(I63&gt;0,IF(I64&gt;0,"OK","BŁĄD"),"N/D")</f>
        <v>OK</v>
      </c>
      <c r="J142" s="276" t="str">
        <f t="shared" si="37"/>
        <v>N/D</v>
      </c>
      <c r="K142" s="276" t="str">
        <f t="shared" si="37"/>
        <v>N/D</v>
      </c>
      <c r="L142" s="276" t="str">
        <f t="shared" si="37"/>
        <v>N/D</v>
      </c>
      <c r="M142" s="276" t="e">
        <f t="shared" si="37"/>
        <v>#REF!</v>
      </c>
      <c r="N142" s="276" t="e">
        <f t="shared" si="37"/>
        <v>#REF!</v>
      </c>
      <c r="O142" s="276" t="e">
        <f t="shared" si="37"/>
        <v>#REF!</v>
      </c>
      <c r="P142" s="276" t="e">
        <f t="shared" si="37"/>
        <v>#REF!</v>
      </c>
      <c r="Q142" s="276" t="e">
        <f t="shared" si="37"/>
        <v>#REF!</v>
      </c>
      <c r="R142" s="276" t="e">
        <f t="shared" si="37"/>
        <v>#REF!</v>
      </c>
      <c r="S142" s="276" t="e">
        <f t="shared" si="37"/>
        <v>#REF!</v>
      </c>
      <c r="T142" s="276" t="e">
        <f t="shared" si="37"/>
        <v>#REF!</v>
      </c>
      <c r="U142" s="276" t="e">
        <f t="shared" si="37"/>
        <v>#REF!</v>
      </c>
      <c r="V142" s="276" t="e">
        <f t="shared" si="37"/>
        <v>#REF!</v>
      </c>
      <c r="W142" s="276" t="e">
        <f t="shared" si="37"/>
        <v>#REF!</v>
      </c>
      <c r="X142" s="276" t="e">
        <f t="shared" si="37"/>
        <v>#REF!</v>
      </c>
      <c r="Y142" s="276" t="e">
        <f t="shared" si="37"/>
        <v>#REF!</v>
      </c>
      <c r="Z142" s="276" t="e">
        <f t="shared" si="37"/>
        <v>#REF!</v>
      </c>
      <c r="AA142" s="276" t="e">
        <f t="shared" si="37"/>
        <v>#REF!</v>
      </c>
      <c r="AB142" s="276" t="e">
        <f t="shared" si="37"/>
        <v>#REF!</v>
      </c>
      <c r="AC142" s="276" t="e">
        <f t="shared" si="37"/>
        <v>#REF!</v>
      </c>
      <c r="AD142" s="276" t="e">
        <f t="shared" si="37"/>
        <v>#REF!</v>
      </c>
      <c r="AE142" s="276" t="e">
        <f t="shared" si="37"/>
        <v>#REF!</v>
      </c>
      <c r="AF142" s="276" t="e">
        <f t="shared" si="37"/>
        <v>#REF!</v>
      </c>
      <c r="AG142" s="276" t="e">
        <f t="shared" si="37"/>
        <v>#REF!</v>
      </c>
      <c r="AH142" s="276" t="e">
        <f t="shared" si="37"/>
        <v>#REF!</v>
      </c>
      <c r="AI142" s="276" t="e">
        <f t="shared" si="37"/>
        <v>#REF!</v>
      </c>
      <c r="AJ142" s="276" t="e">
        <f t="shared" si="37"/>
        <v>#REF!</v>
      </c>
      <c r="AK142" s="276" t="e">
        <f t="shared" si="37"/>
        <v>#REF!</v>
      </c>
      <c r="AL142" s="277" t="e">
        <f t="shared" si="37"/>
        <v>#REF!</v>
      </c>
    </row>
    <row r="143" spans="1:38" customFormat="1" outlineLevel="2">
      <c r="A143" s="309"/>
      <c r="B143" s="302"/>
      <c r="C143" s="349" t="s">
        <v>228</v>
      </c>
      <c r="D143" s="64" t="s">
        <v>276</v>
      </c>
      <c r="E143" s="332" t="s">
        <v>28</v>
      </c>
      <c r="F143" s="333" t="s">
        <v>28</v>
      </c>
      <c r="G143" s="333" t="s">
        <v>28</v>
      </c>
      <c r="H143" s="334" t="s">
        <v>28</v>
      </c>
      <c r="I143" s="283" t="str">
        <f t="shared" ref="I143:AL143" si="38">IF(I75&gt;=I76,"OK","BŁĄD")</f>
        <v>OK</v>
      </c>
      <c r="J143" s="276" t="str">
        <f t="shared" si="38"/>
        <v>OK</v>
      </c>
      <c r="K143" s="276" t="str">
        <f t="shared" si="38"/>
        <v>OK</v>
      </c>
      <c r="L143" s="276" t="str">
        <f t="shared" si="38"/>
        <v>OK</v>
      </c>
      <c r="M143" s="276" t="e">
        <f t="shared" si="38"/>
        <v>#REF!</v>
      </c>
      <c r="N143" s="276" t="e">
        <f t="shared" si="38"/>
        <v>#REF!</v>
      </c>
      <c r="O143" s="276" t="e">
        <f t="shared" si="38"/>
        <v>#REF!</v>
      </c>
      <c r="P143" s="276" t="e">
        <f t="shared" si="38"/>
        <v>#REF!</v>
      </c>
      <c r="Q143" s="276" t="e">
        <f t="shared" si="38"/>
        <v>#REF!</v>
      </c>
      <c r="R143" s="276" t="e">
        <f t="shared" si="38"/>
        <v>#REF!</v>
      </c>
      <c r="S143" s="276" t="e">
        <f t="shared" si="38"/>
        <v>#REF!</v>
      </c>
      <c r="T143" s="276" t="e">
        <f t="shared" si="38"/>
        <v>#REF!</v>
      </c>
      <c r="U143" s="276" t="e">
        <f t="shared" si="38"/>
        <v>#REF!</v>
      </c>
      <c r="V143" s="276" t="e">
        <f t="shared" si="38"/>
        <v>#REF!</v>
      </c>
      <c r="W143" s="276" t="e">
        <f t="shared" si="38"/>
        <v>#REF!</v>
      </c>
      <c r="X143" s="276" t="e">
        <f t="shared" si="38"/>
        <v>#REF!</v>
      </c>
      <c r="Y143" s="276" t="e">
        <f t="shared" si="38"/>
        <v>#REF!</v>
      </c>
      <c r="Z143" s="276" t="e">
        <f t="shared" si="38"/>
        <v>#REF!</v>
      </c>
      <c r="AA143" s="276" t="e">
        <f t="shared" si="38"/>
        <v>#REF!</v>
      </c>
      <c r="AB143" s="276" t="e">
        <f t="shared" si="38"/>
        <v>#REF!</v>
      </c>
      <c r="AC143" s="276" t="e">
        <f t="shared" si="38"/>
        <v>#REF!</v>
      </c>
      <c r="AD143" s="276" t="e">
        <f t="shared" si="38"/>
        <v>#REF!</v>
      </c>
      <c r="AE143" s="276" t="e">
        <f t="shared" si="38"/>
        <v>#REF!</v>
      </c>
      <c r="AF143" s="276" t="e">
        <f t="shared" si="38"/>
        <v>#REF!</v>
      </c>
      <c r="AG143" s="276" t="e">
        <f t="shared" si="38"/>
        <v>#REF!</v>
      </c>
      <c r="AH143" s="276" t="e">
        <f t="shared" si="38"/>
        <v>#REF!</v>
      </c>
      <c r="AI143" s="276" t="e">
        <f t="shared" si="38"/>
        <v>#REF!</v>
      </c>
      <c r="AJ143" s="276" t="e">
        <f t="shared" si="38"/>
        <v>#REF!</v>
      </c>
      <c r="AK143" s="276" t="e">
        <f t="shared" si="38"/>
        <v>#REF!</v>
      </c>
      <c r="AL143" s="277" t="e">
        <f t="shared" si="38"/>
        <v>#REF!</v>
      </c>
    </row>
    <row r="144" spans="1:38" customFormat="1" outlineLevel="2">
      <c r="A144" s="309"/>
      <c r="B144" s="302"/>
      <c r="C144" s="349" t="s">
        <v>227</v>
      </c>
      <c r="D144" s="64" t="s">
        <v>275</v>
      </c>
      <c r="E144" s="332" t="s">
        <v>28</v>
      </c>
      <c r="F144" s="333" t="s">
        <v>28</v>
      </c>
      <c r="G144" s="333" t="s">
        <v>28</v>
      </c>
      <c r="H144" s="334" t="s">
        <v>28</v>
      </c>
      <c r="I144" s="283" t="str">
        <f t="shared" ref="I144:AL144" si="39">IF(I76&gt;=I77,"OK","BŁĄD")</f>
        <v>OK</v>
      </c>
      <c r="J144" s="276" t="str">
        <f t="shared" si="39"/>
        <v>OK</v>
      </c>
      <c r="K144" s="276" t="str">
        <f t="shared" si="39"/>
        <v>OK</v>
      </c>
      <c r="L144" s="276" t="str">
        <f t="shared" si="39"/>
        <v>OK</v>
      </c>
      <c r="M144" s="276" t="e">
        <f t="shared" si="39"/>
        <v>#REF!</v>
      </c>
      <c r="N144" s="276" t="e">
        <f t="shared" si="39"/>
        <v>#REF!</v>
      </c>
      <c r="O144" s="276" t="e">
        <f t="shared" si="39"/>
        <v>#REF!</v>
      </c>
      <c r="P144" s="276" t="e">
        <f t="shared" si="39"/>
        <v>#REF!</v>
      </c>
      <c r="Q144" s="276" t="e">
        <f t="shared" si="39"/>
        <v>#REF!</v>
      </c>
      <c r="R144" s="276" t="e">
        <f t="shared" si="39"/>
        <v>#REF!</v>
      </c>
      <c r="S144" s="276" t="e">
        <f t="shared" si="39"/>
        <v>#REF!</v>
      </c>
      <c r="T144" s="276" t="e">
        <f t="shared" si="39"/>
        <v>#REF!</v>
      </c>
      <c r="U144" s="276" t="e">
        <f t="shared" si="39"/>
        <v>#REF!</v>
      </c>
      <c r="V144" s="276" t="e">
        <f t="shared" si="39"/>
        <v>#REF!</v>
      </c>
      <c r="W144" s="276" t="e">
        <f t="shared" si="39"/>
        <v>#REF!</v>
      </c>
      <c r="X144" s="276" t="e">
        <f t="shared" si="39"/>
        <v>#REF!</v>
      </c>
      <c r="Y144" s="276" t="e">
        <f t="shared" si="39"/>
        <v>#REF!</v>
      </c>
      <c r="Z144" s="276" t="e">
        <f t="shared" si="39"/>
        <v>#REF!</v>
      </c>
      <c r="AA144" s="276" t="e">
        <f t="shared" si="39"/>
        <v>#REF!</v>
      </c>
      <c r="AB144" s="276" t="e">
        <f t="shared" si="39"/>
        <v>#REF!</v>
      </c>
      <c r="AC144" s="276" t="e">
        <f t="shared" si="39"/>
        <v>#REF!</v>
      </c>
      <c r="AD144" s="276" t="e">
        <f t="shared" si="39"/>
        <v>#REF!</v>
      </c>
      <c r="AE144" s="276" t="e">
        <f t="shared" si="39"/>
        <v>#REF!</v>
      </c>
      <c r="AF144" s="276" t="e">
        <f t="shared" si="39"/>
        <v>#REF!</v>
      </c>
      <c r="AG144" s="276" t="e">
        <f t="shared" si="39"/>
        <v>#REF!</v>
      </c>
      <c r="AH144" s="276" t="e">
        <f t="shared" si="39"/>
        <v>#REF!</v>
      </c>
      <c r="AI144" s="276" t="e">
        <f t="shared" si="39"/>
        <v>#REF!</v>
      </c>
      <c r="AJ144" s="276" t="e">
        <f t="shared" si="39"/>
        <v>#REF!</v>
      </c>
      <c r="AK144" s="276" t="e">
        <f t="shared" si="39"/>
        <v>#REF!</v>
      </c>
      <c r="AL144" s="277" t="e">
        <f t="shared" si="39"/>
        <v>#REF!</v>
      </c>
    </row>
    <row r="145" spans="1:38" customFormat="1" outlineLevel="2">
      <c r="A145" s="309"/>
      <c r="B145" s="302"/>
      <c r="C145" s="349" t="s">
        <v>230</v>
      </c>
      <c r="D145" s="64" t="s">
        <v>278</v>
      </c>
      <c r="E145" s="332" t="s">
        <v>28</v>
      </c>
      <c r="F145" s="333" t="s">
        <v>28</v>
      </c>
      <c r="G145" s="333" t="s">
        <v>28</v>
      </c>
      <c r="H145" s="334" t="s">
        <v>28</v>
      </c>
      <c r="I145" s="283" t="str">
        <f t="shared" ref="I145:AL145" si="40">IF(I78&gt;=I79,"OK","BŁĄD")</f>
        <v>OK</v>
      </c>
      <c r="J145" s="276" t="str">
        <f t="shared" si="40"/>
        <v>OK</v>
      </c>
      <c r="K145" s="276" t="str">
        <f t="shared" si="40"/>
        <v>OK</v>
      </c>
      <c r="L145" s="276" t="str">
        <f t="shared" si="40"/>
        <v>OK</v>
      </c>
      <c r="M145" s="276" t="e">
        <f t="shared" si="40"/>
        <v>#REF!</v>
      </c>
      <c r="N145" s="276" t="e">
        <f t="shared" si="40"/>
        <v>#REF!</v>
      </c>
      <c r="O145" s="276" t="e">
        <f t="shared" si="40"/>
        <v>#REF!</v>
      </c>
      <c r="P145" s="276" t="e">
        <f t="shared" si="40"/>
        <v>#REF!</v>
      </c>
      <c r="Q145" s="276" t="e">
        <f t="shared" si="40"/>
        <v>#REF!</v>
      </c>
      <c r="R145" s="276" t="e">
        <f t="shared" si="40"/>
        <v>#REF!</v>
      </c>
      <c r="S145" s="276" t="e">
        <f t="shared" si="40"/>
        <v>#REF!</v>
      </c>
      <c r="T145" s="276" t="e">
        <f t="shared" si="40"/>
        <v>#REF!</v>
      </c>
      <c r="U145" s="276" t="e">
        <f t="shared" si="40"/>
        <v>#REF!</v>
      </c>
      <c r="V145" s="276" t="e">
        <f t="shared" si="40"/>
        <v>#REF!</v>
      </c>
      <c r="W145" s="276" t="e">
        <f t="shared" si="40"/>
        <v>#REF!</v>
      </c>
      <c r="X145" s="276" t="e">
        <f t="shared" si="40"/>
        <v>#REF!</v>
      </c>
      <c r="Y145" s="276" t="e">
        <f t="shared" si="40"/>
        <v>#REF!</v>
      </c>
      <c r="Z145" s="276" t="e">
        <f t="shared" si="40"/>
        <v>#REF!</v>
      </c>
      <c r="AA145" s="276" t="e">
        <f t="shared" si="40"/>
        <v>#REF!</v>
      </c>
      <c r="AB145" s="276" t="e">
        <f t="shared" si="40"/>
        <v>#REF!</v>
      </c>
      <c r="AC145" s="276" t="e">
        <f t="shared" si="40"/>
        <v>#REF!</v>
      </c>
      <c r="AD145" s="276" t="e">
        <f t="shared" si="40"/>
        <v>#REF!</v>
      </c>
      <c r="AE145" s="276" t="e">
        <f t="shared" si="40"/>
        <v>#REF!</v>
      </c>
      <c r="AF145" s="276" t="e">
        <f t="shared" si="40"/>
        <v>#REF!</v>
      </c>
      <c r="AG145" s="276" t="e">
        <f t="shared" si="40"/>
        <v>#REF!</v>
      </c>
      <c r="AH145" s="276" t="e">
        <f t="shared" si="40"/>
        <v>#REF!</v>
      </c>
      <c r="AI145" s="276" t="e">
        <f t="shared" si="40"/>
        <v>#REF!</v>
      </c>
      <c r="AJ145" s="276" t="e">
        <f t="shared" si="40"/>
        <v>#REF!</v>
      </c>
      <c r="AK145" s="276" t="e">
        <f t="shared" si="40"/>
        <v>#REF!</v>
      </c>
      <c r="AL145" s="277" t="e">
        <f t="shared" si="40"/>
        <v>#REF!</v>
      </c>
    </row>
    <row r="146" spans="1:38" customFormat="1" outlineLevel="2">
      <c r="A146" s="309"/>
      <c r="B146" s="302"/>
      <c r="C146" s="349" t="s">
        <v>229</v>
      </c>
      <c r="D146" s="64" t="s">
        <v>277</v>
      </c>
      <c r="E146" s="332" t="s">
        <v>28</v>
      </c>
      <c r="F146" s="333" t="s">
        <v>28</v>
      </c>
      <c r="G146" s="333" t="s">
        <v>28</v>
      </c>
      <c r="H146" s="334" t="s">
        <v>28</v>
      </c>
      <c r="I146" s="283" t="str">
        <f t="shared" ref="I146:AL146" si="41">IF(I79&gt;=I80,"OK","BŁĄD")</f>
        <v>OK</v>
      </c>
      <c r="J146" s="276" t="str">
        <f t="shared" si="41"/>
        <v>OK</v>
      </c>
      <c r="K146" s="276" t="str">
        <f t="shared" si="41"/>
        <v>OK</v>
      </c>
      <c r="L146" s="276" t="str">
        <f t="shared" si="41"/>
        <v>OK</v>
      </c>
      <c r="M146" s="276" t="e">
        <f t="shared" si="41"/>
        <v>#REF!</v>
      </c>
      <c r="N146" s="276" t="e">
        <f t="shared" si="41"/>
        <v>#REF!</v>
      </c>
      <c r="O146" s="276" t="e">
        <f t="shared" si="41"/>
        <v>#REF!</v>
      </c>
      <c r="P146" s="276" t="e">
        <f t="shared" si="41"/>
        <v>#REF!</v>
      </c>
      <c r="Q146" s="276" t="e">
        <f t="shared" si="41"/>
        <v>#REF!</v>
      </c>
      <c r="R146" s="276" t="e">
        <f t="shared" si="41"/>
        <v>#REF!</v>
      </c>
      <c r="S146" s="276" t="e">
        <f t="shared" si="41"/>
        <v>#REF!</v>
      </c>
      <c r="T146" s="276" t="e">
        <f t="shared" si="41"/>
        <v>#REF!</v>
      </c>
      <c r="U146" s="276" t="e">
        <f t="shared" si="41"/>
        <v>#REF!</v>
      </c>
      <c r="V146" s="276" t="e">
        <f t="shared" si="41"/>
        <v>#REF!</v>
      </c>
      <c r="W146" s="276" t="e">
        <f t="shared" si="41"/>
        <v>#REF!</v>
      </c>
      <c r="X146" s="276" t="e">
        <f t="shared" si="41"/>
        <v>#REF!</v>
      </c>
      <c r="Y146" s="276" t="e">
        <f t="shared" si="41"/>
        <v>#REF!</v>
      </c>
      <c r="Z146" s="276" t="e">
        <f t="shared" si="41"/>
        <v>#REF!</v>
      </c>
      <c r="AA146" s="276" t="e">
        <f t="shared" si="41"/>
        <v>#REF!</v>
      </c>
      <c r="AB146" s="276" t="e">
        <f t="shared" si="41"/>
        <v>#REF!</v>
      </c>
      <c r="AC146" s="276" t="e">
        <f t="shared" si="41"/>
        <v>#REF!</v>
      </c>
      <c r="AD146" s="276" t="e">
        <f t="shared" si="41"/>
        <v>#REF!</v>
      </c>
      <c r="AE146" s="276" t="e">
        <f t="shared" si="41"/>
        <v>#REF!</v>
      </c>
      <c r="AF146" s="276" t="e">
        <f t="shared" si="41"/>
        <v>#REF!</v>
      </c>
      <c r="AG146" s="276" t="e">
        <f t="shared" si="41"/>
        <v>#REF!</v>
      </c>
      <c r="AH146" s="276" t="e">
        <f t="shared" si="41"/>
        <v>#REF!</v>
      </c>
      <c r="AI146" s="276" t="e">
        <f t="shared" si="41"/>
        <v>#REF!</v>
      </c>
      <c r="AJ146" s="276" t="e">
        <f t="shared" si="41"/>
        <v>#REF!</v>
      </c>
      <c r="AK146" s="276" t="e">
        <f t="shared" si="41"/>
        <v>#REF!</v>
      </c>
      <c r="AL146" s="277" t="e">
        <f t="shared" si="41"/>
        <v>#REF!</v>
      </c>
    </row>
    <row r="147" spans="1:38" customFormat="1" outlineLevel="2">
      <c r="A147" s="309"/>
      <c r="B147" s="302"/>
      <c r="C147" s="349" t="s">
        <v>231</v>
      </c>
      <c r="D147" s="64" t="s">
        <v>279</v>
      </c>
      <c r="E147" s="332" t="s">
        <v>28</v>
      </c>
      <c r="F147" s="333" t="s">
        <v>28</v>
      </c>
      <c r="G147" s="333" t="s">
        <v>28</v>
      </c>
      <c r="H147" s="334" t="s">
        <v>28</v>
      </c>
      <c r="I147" s="283" t="str">
        <f t="shared" ref="I147:AL147" si="42">IF(I81&gt;=I82,"OK","BŁĄD")</f>
        <v>OK</v>
      </c>
      <c r="J147" s="276" t="str">
        <f t="shared" si="42"/>
        <v>OK</v>
      </c>
      <c r="K147" s="276" t="str">
        <f t="shared" si="42"/>
        <v>OK</v>
      </c>
      <c r="L147" s="276" t="str">
        <f t="shared" si="42"/>
        <v>OK</v>
      </c>
      <c r="M147" s="276" t="e">
        <f t="shared" si="42"/>
        <v>#REF!</v>
      </c>
      <c r="N147" s="276" t="e">
        <f t="shared" si="42"/>
        <v>#REF!</v>
      </c>
      <c r="O147" s="276" t="e">
        <f t="shared" si="42"/>
        <v>#REF!</v>
      </c>
      <c r="P147" s="276" t="e">
        <f t="shared" si="42"/>
        <v>#REF!</v>
      </c>
      <c r="Q147" s="276" t="e">
        <f t="shared" si="42"/>
        <v>#REF!</v>
      </c>
      <c r="R147" s="276" t="e">
        <f t="shared" si="42"/>
        <v>#REF!</v>
      </c>
      <c r="S147" s="276" t="e">
        <f t="shared" si="42"/>
        <v>#REF!</v>
      </c>
      <c r="T147" s="276" t="e">
        <f t="shared" si="42"/>
        <v>#REF!</v>
      </c>
      <c r="U147" s="276" t="e">
        <f t="shared" si="42"/>
        <v>#REF!</v>
      </c>
      <c r="V147" s="276" t="e">
        <f t="shared" si="42"/>
        <v>#REF!</v>
      </c>
      <c r="W147" s="276" t="e">
        <f t="shared" si="42"/>
        <v>#REF!</v>
      </c>
      <c r="X147" s="276" t="e">
        <f t="shared" si="42"/>
        <v>#REF!</v>
      </c>
      <c r="Y147" s="276" t="e">
        <f t="shared" si="42"/>
        <v>#REF!</v>
      </c>
      <c r="Z147" s="276" t="e">
        <f t="shared" si="42"/>
        <v>#REF!</v>
      </c>
      <c r="AA147" s="276" t="e">
        <f t="shared" si="42"/>
        <v>#REF!</v>
      </c>
      <c r="AB147" s="276" t="e">
        <f t="shared" si="42"/>
        <v>#REF!</v>
      </c>
      <c r="AC147" s="276" t="e">
        <f t="shared" si="42"/>
        <v>#REF!</v>
      </c>
      <c r="AD147" s="276" t="e">
        <f t="shared" si="42"/>
        <v>#REF!</v>
      </c>
      <c r="AE147" s="276" t="e">
        <f t="shared" si="42"/>
        <v>#REF!</v>
      </c>
      <c r="AF147" s="276" t="e">
        <f t="shared" si="42"/>
        <v>#REF!</v>
      </c>
      <c r="AG147" s="276" t="e">
        <f t="shared" si="42"/>
        <v>#REF!</v>
      </c>
      <c r="AH147" s="276" t="e">
        <f t="shared" si="42"/>
        <v>#REF!</v>
      </c>
      <c r="AI147" s="276" t="e">
        <f t="shared" si="42"/>
        <v>#REF!</v>
      </c>
      <c r="AJ147" s="276" t="e">
        <f t="shared" si="42"/>
        <v>#REF!</v>
      </c>
      <c r="AK147" s="276" t="e">
        <f t="shared" si="42"/>
        <v>#REF!</v>
      </c>
      <c r="AL147" s="277" t="e">
        <f t="shared" si="42"/>
        <v>#REF!</v>
      </c>
    </row>
    <row r="148" spans="1:38" customFormat="1" outlineLevel="2">
      <c r="A148" s="309"/>
      <c r="B148" s="302"/>
      <c r="C148" s="349" t="s">
        <v>232</v>
      </c>
      <c r="D148" s="64" t="s">
        <v>280</v>
      </c>
      <c r="E148" s="332" t="s">
        <v>28</v>
      </c>
      <c r="F148" s="333" t="s">
        <v>28</v>
      </c>
      <c r="G148" s="333" t="s">
        <v>28</v>
      </c>
      <c r="H148" s="334" t="s">
        <v>28</v>
      </c>
      <c r="I148" s="283" t="str">
        <f t="shared" ref="I148:AL148" si="43">IF(I81&gt;=I83,"OK","BŁĄD")</f>
        <v>OK</v>
      </c>
      <c r="J148" s="276" t="str">
        <f t="shared" si="43"/>
        <v>OK</v>
      </c>
      <c r="K148" s="276" t="str">
        <f t="shared" si="43"/>
        <v>OK</v>
      </c>
      <c r="L148" s="276" t="str">
        <f t="shared" si="43"/>
        <v>OK</v>
      </c>
      <c r="M148" s="276" t="e">
        <f t="shared" si="43"/>
        <v>#REF!</v>
      </c>
      <c r="N148" s="276" t="e">
        <f t="shared" si="43"/>
        <v>#REF!</v>
      </c>
      <c r="O148" s="276" t="e">
        <f t="shared" si="43"/>
        <v>#REF!</v>
      </c>
      <c r="P148" s="276" t="e">
        <f t="shared" si="43"/>
        <v>#REF!</v>
      </c>
      <c r="Q148" s="276" t="e">
        <f t="shared" si="43"/>
        <v>#REF!</v>
      </c>
      <c r="R148" s="276" t="e">
        <f t="shared" si="43"/>
        <v>#REF!</v>
      </c>
      <c r="S148" s="276" t="e">
        <f t="shared" si="43"/>
        <v>#REF!</v>
      </c>
      <c r="T148" s="276" t="e">
        <f t="shared" si="43"/>
        <v>#REF!</v>
      </c>
      <c r="U148" s="276" t="e">
        <f t="shared" si="43"/>
        <v>#REF!</v>
      </c>
      <c r="V148" s="276" t="e">
        <f t="shared" si="43"/>
        <v>#REF!</v>
      </c>
      <c r="W148" s="276" t="e">
        <f t="shared" si="43"/>
        <v>#REF!</v>
      </c>
      <c r="X148" s="276" t="e">
        <f t="shared" si="43"/>
        <v>#REF!</v>
      </c>
      <c r="Y148" s="276" t="e">
        <f t="shared" si="43"/>
        <v>#REF!</v>
      </c>
      <c r="Z148" s="276" t="e">
        <f t="shared" si="43"/>
        <v>#REF!</v>
      </c>
      <c r="AA148" s="276" t="e">
        <f t="shared" si="43"/>
        <v>#REF!</v>
      </c>
      <c r="AB148" s="276" t="e">
        <f t="shared" si="43"/>
        <v>#REF!</v>
      </c>
      <c r="AC148" s="276" t="e">
        <f t="shared" si="43"/>
        <v>#REF!</v>
      </c>
      <c r="AD148" s="276" t="e">
        <f t="shared" si="43"/>
        <v>#REF!</v>
      </c>
      <c r="AE148" s="276" t="e">
        <f t="shared" si="43"/>
        <v>#REF!</v>
      </c>
      <c r="AF148" s="276" t="e">
        <f t="shared" si="43"/>
        <v>#REF!</v>
      </c>
      <c r="AG148" s="276" t="e">
        <f t="shared" si="43"/>
        <v>#REF!</v>
      </c>
      <c r="AH148" s="276" t="e">
        <f t="shared" si="43"/>
        <v>#REF!</v>
      </c>
      <c r="AI148" s="276" t="e">
        <f t="shared" si="43"/>
        <v>#REF!</v>
      </c>
      <c r="AJ148" s="276" t="e">
        <f t="shared" si="43"/>
        <v>#REF!</v>
      </c>
      <c r="AK148" s="276" t="e">
        <f t="shared" si="43"/>
        <v>#REF!</v>
      </c>
      <c r="AL148" s="277" t="e">
        <f t="shared" si="43"/>
        <v>#REF!</v>
      </c>
    </row>
    <row r="149" spans="1:38" customFormat="1" outlineLevel="2">
      <c r="A149" s="309"/>
      <c r="B149" s="302"/>
      <c r="C149" s="349" t="s">
        <v>233</v>
      </c>
      <c r="D149" s="64" t="s">
        <v>281</v>
      </c>
      <c r="E149" s="332" t="s">
        <v>28</v>
      </c>
      <c r="F149" s="333" t="s">
        <v>28</v>
      </c>
      <c r="G149" s="333" t="s">
        <v>28</v>
      </c>
      <c r="H149" s="334" t="s">
        <v>28</v>
      </c>
      <c r="I149" s="283" t="str">
        <f t="shared" ref="I149:AL149" si="44">IF(I84&gt;=I85,"OK","BŁĄD")</f>
        <v>OK</v>
      </c>
      <c r="J149" s="276" t="str">
        <f t="shared" si="44"/>
        <v>OK</v>
      </c>
      <c r="K149" s="276" t="str">
        <f t="shared" si="44"/>
        <v>OK</v>
      </c>
      <c r="L149" s="276" t="str">
        <f t="shared" si="44"/>
        <v>OK</v>
      </c>
      <c r="M149" s="276" t="e">
        <f t="shared" si="44"/>
        <v>#REF!</v>
      </c>
      <c r="N149" s="276" t="e">
        <f t="shared" si="44"/>
        <v>#REF!</v>
      </c>
      <c r="O149" s="276" t="e">
        <f t="shared" si="44"/>
        <v>#REF!</v>
      </c>
      <c r="P149" s="276" t="e">
        <f t="shared" si="44"/>
        <v>#REF!</v>
      </c>
      <c r="Q149" s="276" t="e">
        <f t="shared" si="44"/>
        <v>#REF!</v>
      </c>
      <c r="R149" s="276" t="e">
        <f t="shared" si="44"/>
        <v>#REF!</v>
      </c>
      <c r="S149" s="276" t="e">
        <f t="shared" si="44"/>
        <v>#REF!</v>
      </c>
      <c r="T149" s="276" t="e">
        <f t="shared" si="44"/>
        <v>#REF!</v>
      </c>
      <c r="U149" s="276" t="e">
        <f t="shared" si="44"/>
        <v>#REF!</v>
      </c>
      <c r="V149" s="276" t="e">
        <f t="shared" si="44"/>
        <v>#REF!</v>
      </c>
      <c r="W149" s="276" t="e">
        <f t="shared" si="44"/>
        <v>#REF!</v>
      </c>
      <c r="X149" s="276" t="e">
        <f t="shared" si="44"/>
        <v>#REF!</v>
      </c>
      <c r="Y149" s="276" t="e">
        <f t="shared" si="44"/>
        <v>#REF!</v>
      </c>
      <c r="Z149" s="276" t="e">
        <f t="shared" si="44"/>
        <v>#REF!</v>
      </c>
      <c r="AA149" s="276" t="e">
        <f t="shared" si="44"/>
        <v>#REF!</v>
      </c>
      <c r="AB149" s="276" t="e">
        <f t="shared" si="44"/>
        <v>#REF!</v>
      </c>
      <c r="AC149" s="276" t="e">
        <f t="shared" si="44"/>
        <v>#REF!</v>
      </c>
      <c r="AD149" s="276" t="e">
        <f t="shared" si="44"/>
        <v>#REF!</v>
      </c>
      <c r="AE149" s="276" t="e">
        <f t="shared" si="44"/>
        <v>#REF!</v>
      </c>
      <c r="AF149" s="276" t="e">
        <f t="shared" si="44"/>
        <v>#REF!</v>
      </c>
      <c r="AG149" s="276" t="e">
        <f t="shared" si="44"/>
        <v>#REF!</v>
      </c>
      <c r="AH149" s="276" t="e">
        <f t="shared" si="44"/>
        <v>#REF!</v>
      </c>
      <c r="AI149" s="276" t="e">
        <f t="shared" si="44"/>
        <v>#REF!</v>
      </c>
      <c r="AJ149" s="276" t="e">
        <f t="shared" si="44"/>
        <v>#REF!</v>
      </c>
      <c r="AK149" s="276" t="e">
        <f t="shared" si="44"/>
        <v>#REF!</v>
      </c>
      <c r="AL149" s="277" t="e">
        <f t="shared" si="44"/>
        <v>#REF!</v>
      </c>
    </row>
    <row r="150" spans="1:38" customFormat="1" outlineLevel="2">
      <c r="A150" s="309"/>
      <c r="B150" s="302"/>
      <c r="C150" s="349" t="s">
        <v>234</v>
      </c>
      <c r="D150" s="64" t="s">
        <v>282</v>
      </c>
      <c r="E150" s="332" t="s">
        <v>28</v>
      </c>
      <c r="F150" s="333" t="s">
        <v>28</v>
      </c>
      <c r="G150" s="333" t="s">
        <v>28</v>
      </c>
      <c r="H150" s="334" t="s">
        <v>28</v>
      </c>
      <c r="I150" s="283" t="str">
        <f t="shared" ref="I150:AL150" si="45">IF(I84&gt;=I86,"OK","BŁĄD")</f>
        <v>OK</v>
      </c>
      <c r="J150" s="276" t="str">
        <f t="shared" si="45"/>
        <v>OK</v>
      </c>
      <c r="K150" s="276" t="str">
        <f t="shared" si="45"/>
        <v>OK</v>
      </c>
      <c r="L150" s="276" t="str">
        <f t="shared" si="45"/>
        <v>OK</v>
      </c>
      <c r="M150" s="276" t="e">
        <f t="shared" si="45"/>
        <v>#REF!</v>
      </c>
      <c r="N150" s="276" t="e">
        <f t="shared" si="45"/>
        <v>#REF!</v>
      </c>
      <c r="O150" s="276" t="e">
        <f t="shared" si="45"/>
        <v>#REF!</v>
      </c>
      <c r="P150" s="276" t="e">
        <f t="shared" si="45"/>
        <v>#REF!</v>
      </c>
      <c r="Q150" s="276" t="e">
        <f t="shared" si="45"/>
        <v>#REF!</v>
      </c>
      <c r="R150" s="276" t="e">
        <f t="shared" si="45"/>
        <v>#REF!</v>
      </c>
      <c r="S150" s="276" t="e">
        <f t="shared" si="45"/>
        <v>#REF!</v>
      </c>
      <c r="T150" s="276" t="e">
        <f t="shared" si="45"/>
        <v>#REF!</v>
      </c>
      <c r="U150" s="276" t="e">
        <f t="shared" si="45"/>
        <v>#REF!</v>
      </c>
      <c r="V150" s="276" t="e">
        <f t="shared" si="45"/>
        <v>#REF!</v>
      </c>
      <c r="W150" s="276" t="e">
        <f t="shared" si="45"/>
        <v>#REF!</v>
      </c>
      <c r="X150" s="276" t="e">
        <f t="shared" si="45"/>
        <v>#REF!</v>
      </c>
      <c r="Y150" s="276" t="e">
        <f t="shared" si="45"/>
        <v>#REF!</v>
      </c>
      <c r="Z150" s="276" t="e">
        <f t="shared" si="45"/>
        <v>#REF!</v>
      </c>
      <c r="AA150" s="276" t="e">
        <f t="shared" si="45"/>
        <v>#REF!</v>
      </c>
      <c r="AB150" s="276" t="e">
        <f t="shared" si="45"/>
        <v>#REF!</v>
      </c>
      <c r="AC150" s="276" t="e">
        <f t="shared" si="45"/>
        <v>#REF!</v>
      </c>
      <c r="AD150" s="276" t="e">
        <f t="shared" si="45"/>
        <v>#REF!</v>
      </c>
      <c r="AE150" s="276" t="e">
        <f t="shared" si="45"/>
        <v>#REF!</v>
      </c>
      <c r="AF150" s="276" t="e">
        <f t="shared" si="45"/>
        <v>#REF!</v>
      </c>
      <c r="AG150" s="276" t="e">
        <f t="shared" si="45"/>
        <v>#REF!</v>
      </c>
      <c r="AH150" s="276" t="e">
        <f t="shared" si="45"/>
        <v>#REF!</v>
      </c>
      <c r="AI150" s="276" t="e">
        <f t="shared" si="45"/>
        <v>#REF!</v>
      </c>
      <c r="AJ150" s="276" t="e">
        <f t="shared" si="45"/>
        <v>#REF!</v>
      </c>
      <c r="AK150" s="276" t="e">
        <f t="shared" si="45"/>
        <v>#REF!</v>
      </c>
      <c r="AL150" s="277" t="e">
        <f t="shared" si="45"/>
        <v>#REF!</v>
      </c>
    </row>
    <row r="151" spans="1:38" customFormat="1" outlineLevel="2">
      <c r="A151" s="309"/>
      <c r="B151" s="302"/>
      <c r="C151" s="349" t="s">
        <v>233</v>
      </c>
      <c r="D151" s="64" t="s">
        <v>426</v>
      </c>
      <c r="E151" s="332" t="s">
        <v>28</v>
      </c>
      <c r="F151" s="333" t="s">
        <v>28</v>
      </c>
      <c r="G151" s="333" t="s">
        <v>28</v>
      </c>
      <c r="H151" s="334" t="s">
        <v>28</v>
      </c>
      <c r="I151" s="283" t="str">
        <f>IF(I87&gt;=I88,"OK","BŁĄD")</f>
        <v>OK</v>
      </c>
      <c r="J151" s="276" t="str">
        <f t="shared" ref="J151:AL151" si="46">IF(J87&gt;=J88,"OK","BŁĄD")</f>
        <v>OK</v>
      </c>
      <c r="K151" s="276" t="str">
        <f t="shared" si="46"/>
        <v>OK</v>
      </c>
      <c r="L151" s="276" t="str">
        <f t="shared" si="46"/>
        <v>OK</v>
      </c>
      <c r="M151" s="276" t="e">
        <f t="shared" si="46"/>
        <v>#REF!</v>
      </c>
      <c r="N151" s="276" t="e">
        <f t="shared" si="46"/>
        <v>#REF!</v>
      </c>
      <c r="O151" s="276" t="e">
        <f t="shared" si="46"/>
        <v>#REF!</v>
      </c>
      <c r="P151" s="276" t="e">
        <f t="shared" si="46"/>
        <v>#REF!</v>
      </c>
      <c r="Q151" s="276" t="e">
        <f t="shared" si="46"/>
        <v>#REF!</v>
      </c>
      <c r="R151" s="276" t="e">
        <f t="shared" si="46"/>
        <v>#REF!</v>
      </c>
      <c r="S151" s="276" t="e">
        <f t="shared" si="46"/>
        <v>#REF!</v>
      </c>
      <c r="T151" s="276" t="e">
        <f t="shared" si="46"/>
        <v>#REF!</v>
      </c>
      <c r="U151" s="276" t="e">
        <f t="shared" si="46"/>
        <v>#REF!</v>
      </c>
      <c r="V151" s="276" t="e">
        <f t="shared" si="46"/>
        <v>#REF!</v>
      </c>
      <c r="W151" s="276" t="e">
        <f t="shared" si="46"/>
        <v>#REF!</v>
      </c>
      <c r="X151" s="276" t="e">
        <f t="shared" si="46"/>
        <v>#REF!</v>
      </c>
      <c r="Y151" s="276" t="e">
        <f t="shared" si="46"/>
        <v>#REF!</v>
      </c>
      <c r="Z151" s="276" t="e">
        <f t="shared" si="46"/>
        <v>#REF!</v>
      </c>
      <c r="AA151" s="276" t="e">
        <f t="shared" si="46"/>
        <v>#REF!</v>
      </c>
      <c r="AB151" s="276" t="e">
        <f t="shared" si="46"/>
        <v>#REF!</v>
      </c>
      <c r="AC151" s="276" t="e">
        <f t="shared" si="46"/>
        <v>#REF!</v>
      </c>
      <c r="AD151" s="276" t="e">
        <f t="shared" si="46"/>
        <v>#REF!</v>
      </c>
      <c r="AE151" s="276" t="e">
        <f t="shared" si="46"/>
        <v>#REF!</v>
      </c>
      <c r="AF151" s="276" t="e">
        <f t="shared" si="46"/>
        <v>#REF!</v>
      </c>
      <c r="AG151" s="276" t="e">
        <f t="shared" si="46"/>
        <v>#REF!</v>
      </c>
      <c r="AH151" s="276" t="e">
        <f t="shared" si="46"/>
        <v>#REF!</v>
      </c>
      <c r="AI151" s="276" t="e">
        <f t="shared" si="46"/>
        <v>#REF!</v>
      </c>
      <c r="AJ151" s="276" t="e">
        <f t="shared" si="46"/>
        <v>#REF!</v>
      </c>
      <c r="AK151" s="276" t="e">
        <f t="shared" si="46"/>
        <v>#REF!</v>
      </c>
      <c r="AL151" s="277" t="e">
        <f t="shared" si="46"/>
        <v>#REF!</v>
      </c>
    </row>
    <row r="152" spans="1:38" customFormat="1" outlineLevel="2">
      <c r="A152" s="309"/>
      <c r="B152" s="302"/>
      <c r="C152" s="349" t="s">
        <v>233</v>
      </c>
      <c r="D152" s="64" t="s">
        <v>427</v>
      </c>
      <c r="E152" s="332" t="s">
        <v>28</v>
      </c>
      <c r="F152" s="333" t="s">
        <v>28</v>
      </c>
      <c r="G152" s="333" t="s">
        <v>28</v>
      </c>
      <c r="H152" s="334" t="s">
        <v>28</v>
      </c>
      <c r="I152" s="283" t="str">
        <f>IF(I89&gt;=I90,"OK","BŁĄD")</f>
        <v>OK</v>
      </c>
      <c r="J152" s="276" t="str">
        <f t="shared" ref="J152:AL152" si="47">IF(J89&gt;=J90,"OK","BŁĄD")</f>
        <v>OK</v>
      </c>
      <c r="K152" s="276" t="str">
        <f t="shared" si="47"/>
        <v>OK</v>
      </c>
      <c r="L152" s="276" t="str">
        <f t="shared" si="47"/>
        <v>OK</v>
      </c>
      <c r="M152" s="276" t="e">
        <f t="shared" si="47"/>
        <v>#REF!</v>
      </c>
      <c r="N152" s="276" t="e">
        <f t="shared" si="47"/>
        <v>#REF!</v>
      </c>
      <c r="O152" s="276" t="e">
        <f t="shared" si="47"/>
        <v>#REF!</v>
      </c>
      <c r="P152" s="276" t="e">
        <f t="shared" si="47"/>
        <v>#REF!</v>
      </c>
      <c r="Q152" s="276" t="e">
        <f t="shared" si="47"/>
        <v>#REF!</v>
      </c>
      <c r="R152" s="276" t="e">
        <f t="shared" si="47"/>
        <v>#REF!</v>
      </c>
      <c r="S152" s="276" t="e">
        <f t="shared" si="47"/>
        <v>#REF!</v>
      </c>
      <c r="T152" s="276" t="e">
        <f t="shared" si="47"/>
        <v>#REF!</v>
      </c>
      <c r="U152" s="276" t="e">
        <f t="shared" si="47"/>
        <v>#REF!</v>
      </c>
      <c r="V152" s="276" t="e">
        <f t="shared" si="47"/>
        <v>#REF!</v>
      </c>
      <c r="W152" s="276" t="e">
        <f t="shared" si="47"/>
        <v>#REF!</v>
      </c>
      <c r="X152" s="276" t="e">
        <f t="shared" si="47"/>
        <v>#REF!</v>
      </c>
      <c r="Y152" s="276" t="e">
        <f t="shared" si="47"/>
        <v>#REF!</v>
      </c>
      <c r="Z152" s="276" t="e">
        <f t="shared" si="47"/>
        <v>#REF!</v>
      </c>
      <c r="AA152" s="276" t="e">
        <f t="shared" si="47"/>
        <v>#REF!</v>
      </c>
      <c r="AB152" s="276" t="e">
        <f t="shared" si="47"/>
        <v>#REF!</v>
      </c>
      <c r="AC152" s="276" t="e">
        <f t="shared" si="47"/>
        <v>#REF!</v>
      </c>
      <c r="AD152" s="276" t="e">
        <f t="shared" si="47"/>
        <v>#REF!</v>
      </c>
      <c r="AE152" s="276" t="e">
        <f t="shared" si="47"/>
        <v>#REF!</v>
      </c>
      <c r="AF152" s="276" t="e">
        <f t="shared" si="47"/>
        <v>#REF!</v>
      </c>
      <c r="AG152" s="276" t="e">
        <f t="shared" si="47"/>
        <v>#REF!</v>
      </c>
      <c r="AH152" s="276" t="e">
        <f t="shared" si="47"/>
        <v>#REF!</v>
      </c>
      <c r="AI152" s="276" t="e">
        <f t="shared" si="47"/>
        <v>#REF!</v>
      </c>
      <c r="AJ152" s="276" t="e">
        <f t="shared" si="47"/>
        <v>#REF!</v>
      </c>
      <c r="AK152" s="276" t="e">
        <f t="shared" si="47"/>
        <v>#REF!</v>
      </c>
      <c r="AL152" s="277" t="e">
        <f t="shared" si="47"/>
        <v>#REF!</v>
      </c>
    </row>
    <row r="153" spans="1:38" customFormat="1" outlineLevel="2">
      <c r="A153" s="309"/>
      <c r="B153" s="302"/>
      <c r="C153" s="349" t="s">
        <v>233</v>
      </c>
      <c r="D153" s="64" t="s">
        <v>428</v>
      </c>
      <c r="E153" s="332" t="s">
        <v>28</v>
      </c>
      <c r="F153" s="333" t="s">
        <v>28</v>
      </c>
      <c r="G153" s="333" t="s">
        <v>28</v>
      </c>
      <c r="H153" s="334" t="s">
        <v>28</v>
      </c>
      <c r="I153" s="283" t="str">
        <f>IF(I91&gt;=I92,"OK","BŁĄD")</f>
        <v>OK</v>
      </c>
      <c r="J153" s="276" t="str">
        <f t="shared" ref="J153:AL153" si="48">IF(J91&gt;=J92,"OK","BŁĄD")</f>
        <v>OK</v>
      </c>
      <c r="K153" s="276" t="str">
        <f t="shared" si="48"/>
        <v>OK</v>
      </c>
      <c r="L153" s="276" t="str">
        <f t="shared" si="48"/>
        <v>OK</v>
      </c>
      <c r="M153" s="276" t="e">
        <f t="shared" si="48"/>
        <v>#REF!</v>
      </c>
      <c r="N153" s="276" t="e">
        <f t="shared" si="48"/>
        <v>#REF!</v>
      </c>
      <c r="O153" s="276" t="e">
        <f t="shared" si="48"/>
        <v>#REF!</v>
      </c>
      <c r="P153" s="276" t="e">
        <f t="shared" si="48"/>
        <v>#REF!</v>
      </c>
      <c r="Q153" s="276" t="e">
        <f t="shared" si="48"/>
        <v>#REF!</v>
      </c>
      <c r="R153" s="276" t="e">
        <f t="shared" si="48"/>
        <v>#REF!</v>
      </c>
      <c r="S153" s="276" t="e">
        <f t="shared" si="48"/>
        <v>#REF!</v>
      </c>
      <c r="T153" s="276" t="e">
        <f t="shared" si="48"/>
        <v>#REF!</v>
      </c>
      <c r="U153" s="276" t="e">
        <f t="shared" si="48"/>
        <v>#REF!</v>
      </c>
      <c r="V153" s="276" t="e">
        <f t="shared" si="48"/>
        <v>#REF!</v>
      </c>
      <c r="W153" s="276" t="e">
        <f t="shared" si="48"/>
        <v>#REF!</v>
      </c>
      <c r="X153" s="276" t="e">
        <f t="shared" si="48"/>
        <v>#REF!</v>
      </c>
      <c r="Y153" s="276" t="e">
        <f t="shared" si="48"/>
        <v>#REF!</v>
      </c>
      <c r="Z153" s="276" t="e">
        <f t="shared" si="48"/>
        <v>#REF!</v>
      </c>
      <c r="AA153" s="276" t="e">
        <f t="shared" si="48"/>
        <v>#REF!</v>
      </c>
      <c r="AB153" s="276" t="e">
        <f t="shared" si="48"/>
        <v>#REF!</v>
      </c>
      <c r="AC153" s="276" t="e">
        <f t="shared" si="48"/>
        <v>#REF!</v>
      </c>
      <c r="AD153" s="276" t="e">
        <f t="shared" si="48"/>
        <v>#REF!</v>
      </c>
      <c r="AE153" s="276" t="e">
        <f t="shared" si="48"/>
        <v>#REF!</v>
      </c>
      <c r="AF153" s="276" t="e">
        <f t="shared" si="48"/>
        <v>#REF!</v>
      </c>
      <c r="AG153" s="276" t="e">
        <f t="shared" si="48"/>
        <v>#REF!</v>
      </c>
      <c r="AH153" s="276" t="e">
        <f t="shared" si="48"/>
        <v>#REF!</v>
      </c>
      <c r="AI153" s="276" t="e">
        <f t="shared" si="48"/>
        <v>#REF!</v>
      </c>
      <c r="AJ153" s="276" t="e">
        <f t="shared" si="48"/>
        <v>#REF!</v>
      </c>
      <c r="AK153" s="276" t="e">
        <f t="shared" si="48"/>
        <v>#REF!</v>
      </c>
      <c r="AL153" s="277" t="e">
        <f t="shared" si="48"/>
        <v>#REF!</v>
      </c>
    </row>
    <row r="154" spans="1:38" customFormat="1" outlineLevel="2">
      <c r="A154" s="309"/>
      <c r="B154" s="302"/>
      <c r="C154" s="349" t="s">
        <v>233</v>
      </c>
      <c r="D154" s="64" t="s">
        <v>429</v>
      </c>
      <c r="E154" s="332" t="s">
        <v>28</v>
      </c>
      <c r="F154" s="333" t="s">
        <v>28</v>
      </c>
      <c r="G154" s="333" t="s">
        <v>28</v>
      </c>
      <c r="H154" s="334" t="s">
        <v>28</v>
      </c>
      <c r="I154" s="283" t="str">
        <f>IF(I93&gt;=I94,"OK","BŁĄD")</f>
        <v>OK</v>
      </c>
      <c r="J154" s="276" t="str">
        <f t="shared" ref="J154:AL154" si="49">IF(J93&gt;=J94,"OK","BŁĄD")</f>
        <v>OK</v>
      </c>
      <c r="K154" s="276" t="str">
        <f t="shared" si="49"/>
        <v>OK</v>
      </c>
      <c r="L154" s="276" t="str">
        <f t="shared" si="49"/>
        <v>OK</v>
      </c>
      <c r="M154" s="276" t="e">
        <f t="shared" si="49"/>
        <v>#REF!</v>
      </c>
      <c r="N154" s="276" t="e">
        <f t="shared" si="49"/>
        <v>#REF!</v>
      </c>
      <c r="O154" s="276" t="e">
        <f t="shared" si="49"/>
        <v>#REF!</v>
      </c>
      <c r="P154" s="276" t="e">
        <f t="shared" si="49"/>
        <v>#REF!</v>
      </c>
      <c r="Q154" s="276" t="e">
        <f t="shared" si="49"/>
        <v>#REF!</v>
      </c>
      <c r="R154" s="276" t="e">
        <f t="shared" si="49"/>
        <v>#REF!</v>
      </c>
      <c r="S154" s="276" t="e">
        <f t="shared" si="49"/>
        <v>#REF!</v>
      </c>
      <c r="T154" s="276" t="e">
        <f t="shared" si="49"/>
        <v>#REF!</v>
      </c>
      <c r="U154" s="276" t="e">
        <f t="shared" si="49"/>
        <v>#REF!</v>
      </c>
      <c r="V154" s="276" t="e">
        <f t="shared" si="49"/>
        <v>#REF!</v>
      </c>
      <c r="W154" s="276" t="e">
        <f t="shared" si="49"/>
        <v>#REF!</v>
      </c>
      <c r="X154" s="276" t="e">
        <f t="shared" si="49"/>
        <v>#REF!</v>
      </c>
      <c r="Y154" s="276" t="e">
        <f t="shared" si="49"/>
        <v>#REF!</v>
      </c>
      <c r="Z154" s="276" t="e">
        <f t="shared" si="49"/>
        <v>#REF!</v>
      </c>
      <c r="AA154" s="276" t="e">
        <f t="shared" si="49"/>
        <v>#REF!</v>
      </c>
      <c r="AB154" s="276" t="e">
        <f t="shared" si="49"/>
        <v>#REF!</v>
      </c>
      <c r="AC154" s="276" t="e">
        <f t="shared" si="49"/>
        <v>#REF!</v>
      </c>
      <c r="AD154" s="276" t="e">
        <f t="shared" si="49"/>
        <v>#REF!</v>
      </c>
      <c r="AE154" s="276" t="e">
        <f t="shared" si="49"/>
        <v>#REF!</v>
      </c>
      <c r="AF154" s="276" t="e">
        <f t="shared" si="49"/>
        <v>#REF!</v>
      </c>
      <c r="AG154" s="276" t="e">
        <f t="shared" si="49"/>
        <v>#REF!</v>
      </c>
      <c r="AH154" s="276" t="e">
        <f t="shared" si="49"/>
        <v>#REF!</v>
      </c>
      <c r="AI154" s="276" t="e">
        <f t="shared" si="49"/>
        <v>#REF!</v>
      </c>
      <c r="AJ154" s="276" t="e">
        <f t="shared" si="49"/>
        <v>#REF!</v>
      </c>
      <c r="AK154" s="276" t="e">
        <f t="shared" si="49"/>
        <v>#REF!</v>
      </c>
      <c r="AL154" s="277" t="e">
        <f t="shared" si="49"/>
        <v>#REF!</v>
      </c>
    </row>
    <row r="155" spans="1:38" customFormat="1" outlineLevel="2">
      <c r="A155" s="309"/>
      <c r="B155" s="302"/>
      <c r="C155" s="349" t="s">
        <v>235</v>
      </c>
      <c r="D155" s="64" t="s">
        <v>283</v>
      </c>
      <c r="E155" s="332" t="s">
        <v>28</v>
      </c>
      <c r="F155" s="333" t="s">
        <v>28</v>
      </c>
      <c r="G155" s="333" t="s">
        <v>28</v>
      </c>
      <c r="H155" s="334" t="s">
        <v>28</v>
      </c>
      <c r="I155" s="283" t="str">
        <f t="shared" ref="I155:AL155" si="50">IF(I96&gt;=I98,"OK","BŁĄD")</f>
        <v>OK</v>
      </c>
      <c r="J155" s="276" t="str">
        <f t="shared" si="50"/>
        <v>OK</v>
      </c>
      <c r="K155" s="276" t="str">
        <f t="shared" si="50"/>
        <v>OK</v>
      </c>
      <c r="L155" s="276" t="str">
        <f t="shared" si="50"/>
        <v>OK</v>
      </c>
      <c r="M155" s="276" t="e">
        <f t="shared" si="50"/>
        <v>#REF!</v>
      </c>
      <c r="N155" s="276" t="e">
        <f t="shared" si="50"/>
        <v>#REF!</v>
      </c>
      <c r="O155" s="276" t="e">
        <f t="shared" si="50"/>
        <v>#REF!</v>
      </c>
      <c r="P155" s="276" t="e">
        <f t="shared" si="50"/>
        <v>#REF!</v>
      </c>
      <c r="Q155" s="276" t="e">
        <f t="shared" si="50"/>
        <v>#REF!</v>
      </c>
      <c r="R155" s="276" t="e">
        <f t="shared" si="50"/>
        <v>#REF!</v>
      </c>
      <c r="S155" s="276" t="e">
        <f t="shared" si="50"/>
        <v>#REF!</v>
      </c>
      <c r="T155" s="276" t="e">
        <f t="shared" si="50"/>
        <v>#REF!</v>
      </c>
      <c r="U155" s="276" t="e">
        <f t="shared" si="50"/>
        <v>#REF!</v>
      </c>
      <c r="V155" s="276" t="e">
        <f t="shared" si="50"/>
        <v>#REF!</v>
      </c>
      <c r="W155" s="276" t="e">
        <f t="shared" si="50"/>
        <v>#REF!</v>
      </c>
      <c r="X155" s="276" t="e">
        <f t="shared" si="50"/>
        <v>#REF!</v>
      </c>
      <c r="Y155" s="276" t="e">
        <f t="shared" si="50"/>
        <v>#REF!</v>
      </c>
      <c r="Z155" s="276" t="e">
        <f t="shared" si="50"/>
        <v>#REF!</v>
      </c>
      <c r="AA155" s="276" t="e">
        <f t="shared" si="50"/>
        <v>#REF!</v>
      </c>
      <c r="AB155" s="276" t="e">
        <f t="shared" si="50"/>
        <v>#REF!</v>
      </c>
      <c r="AC155" s="276" t="e">
        <f t="shared" si="50"/>
        <v>#REF!</v>
      </c>
      <c r="AD155" s="276" t="e">
        <f t="shared" si="50"/>
        <v>#REF!</v>
      </c>
      <c r="AE155" s="276" t="e">
        <f t="shared" si="50"/>
        <v>#REF!</v>
      </c>
      <c r="AF155" s="276" t="e">
        <f t="shared" si="50"/>
        <v>#REF!</v>
      </c>
      <c r="AG155" s="276" t="e">
        <f t="shared" si="50"/>
        <v>#REF!</v>
      </c>
      <c r="AH155" s="276" t="e">
        <f t="shared" si="50"/>
        <v>#REF!</v>
      </c>
      <c r="AI155" s="276" t="e">
        <f t="shared" si="50"/>
        <v>#REF!</v>
      </c>
      <c r="AJ155" s="276" t="e">
        <f t="shared" si="50"/>
        <v>#REF!</v>
      </c>
      <c r="AK155" s="276" t="e">
        <f t="shared" si="50"/>
        <v>#REF!</v>
      </c>
      <c r="AL155" s="277" t="e">
        <f t="shared" si="50"/>
        <v>#REF!</v>
      </c>
    </row>
    <row r="156" spans="1:38" customFormat="1" outlineLevel="2">
      <c r="A156" s="309"/>
      <c r="B156" s="302"/>
      <c r="C156" s="349" t="s">
        <v>236</v>
      </c>
      <c r="D156" s="64" t="s">
        <v>284</v>
      </c>
      <c r="E156" s="332" t="s">
        <v>28</v>
      </c>
      <c r="F156" s="333" t="s">
        <v>28</v>
      </c>
      <c r="G156" s="333" t="s">
        <v>28</v>
      </c>
      <c r="H156" s="334" t="s">
        <v>28</v>
      </c>
      <c r="I156" s="283" t="str">
        <f t="shared" ref="I156:AL156" si="51">IF(I99&gt;=I25,"OK","BŁĄD")</f>
        <v>OK</v>
      </c>
      <c r="J156" s="276" t="str">
        <f t="shared" si="51"/>
        <v>OK</v>
      </c>
      <c r="K156" s="276" t="str">
        <f t="shared" si="51"/>
        <v>OK</v>
      </c>
      <c r="L156" s="276" t="str">
        <f t="shared" si="51"/>
        <v>OK</v>
      </c>
      <c r="M156" s="276" t="e">
        <f t="shared" si="51"/>
        <v>#REF!</v>
      </c>
      <c r="N156" s="276" t="e">
        <f t="shared" si="51"/>
        <v>#REF!</v>
      </c>
      <c r="O156" s="276" t="e">
        <f t="shared" si="51"/>
        <v>#REF!</v>
      </c>
      <c r="P156" s="276" t="e">
        <f t="shared" si="51"/>
        <v>#REF!</v>
      </c>
      <c r="Q156" s="276" t="e">
        <f t="shared" si="51"/>
        <v>#REF!</v>
      </c>
      <c r="R156" s="276" t="e">
        <f t="shared" si="51"/>
        <v>#REF!</v>
      </c>
      <c r="S156" s="276" t="e">
        <f t="shared" si="51"/>
        <v>#REF!</v>
      </c>
      <c r="T156" s="276" t="e">
        <f t="shared" si="51"/>
        <v>#REF!</v>
      </c>
      <c r="U156" s="276" t="e">
        <f t="shared" si="51"/>
        <v>#REF!</v>
      </c>
      <c r="V156" s="276" t="e">
        <f t="shared" si="51"/>
        <v>#REF!</v>
      </c>
      <c r="W156" s="276" t="e">
        <f t="shared" si="51"/>
        <v>#REF!</v>
      </c>
      <c r="X156" s="276" t="e">
        <f t="shared" si="51"/>
        <v>#REF!</v>
      </c>
      <c r="Y156" s="276" t="e">
        <f t="shared" si="51"/>
        <v>#REF!</v>
      </c>
      <c r="Z156" s="276" t="e">
        <f t="shared" si="51"/>
        <v>#REF!</v>
      </c>
      <c r="AA156" s="276" t="e">
        <f t="shared" si="51"/>
        <v>#REF!</v>
      </c>
      <c r="AB156" s="276" t="e">
        <f t="shared" si="51"/>
        <v>#REF!</v>
      </c>
      <c r="AC156" s="276" t="e">
        <f t="shared" si="51"/>
        <v>#REF!</v>
      </c>
      <c r="AD156" s="276" t="e">
        <f t="shared" si="51"/>
        <v>#REF!</v>
      </c>
      <c r="AE156" s="276" t="e">
        <f t="shared" si="51"/>
        <v>#REF!</v>
      </c>
      <c r="AF156" s="276" t="e">
        <f t="shared" si="51"/>
        <v>#REF!</v>
      </c>
      <c r="AG156" s="276" t="e">
        <f t="shared" si="51"/>
        <v>#REF!</v>
      </c>
      <c r="AH156" s="276" t="e">
        <f t="shared" si="51"/>
        <v>#REF!</v>
      </c>
      <c r="AI156" s="276" t="e">
        <f t="shared" si="51"/>
        <v>#REF!</v>
      </c>
      <c r="AJ156" s="276" t="e">
        <f t="shared" si="51"/>
        <v>#REF!</v>
      </c>
      <c r="AK156" s="276" t="e">
        <f t="shared" si="51"/>
        <v>#REF!</v>
      </c>
      <c r="AL156" s="277" t="e">
        <f t="shared" si="51"/>
        <v>#REF!</v>
      </c>
    </row>
    <row r="157" spans="1:38" customFormat="1" outlineLevel="2">
      <c r="A157" s="309"/>
      <c r="B157" s="302"/>
      <c r="C157" s="349" t="s">
        <v>237</v>
      </c>
      <c r="D157" s="64" t="s">
        <v>285</v>
      </c>
      <c r="E157" s="332" t="s">
        <v>28</v>
      </c>
      <c r="F157" s="333" t="s">
        <v>28</v>
      </c>
      <c r="G157" s="333" t="s">
        <v>28</v>
      </c>
      <c r="H157" s="334" t="s">
        <v>28</v>
      </c>
      <c r="I157" s="283" t="str">
        <f t="shared" ref="I157:AL157" si="52">IF(I106&gt;=(I107+I108+I109),"OK","BŁĄD")</f>
        <v>OK</v>
      </c>
      <c r="J157" s="276" t="str">
        <f t="shared" si="52"/>
        <v>OK</v>
      </c>
      <c r="K157" s="276" t="str">
        <f t="shared" si="52"/>
        <v>OK</v>
      </c>
      <c r="L157" s="276" t="str">
        <f t="shared" si="52"/>
        <v>OK</v>
      </c>
      <c r="M157" s="276" t="e">
        <f t="shared" si="52"/>
        <v>#REF!</v>
      </c>
      <c r="N157" s="276" t="e">
        <f t="shared" si="52"/>
        <v>#REF!</v>
      </c>
      <c r="O157" s="276" t="e">
        <f t="shared" si="52"/>
        <v>#REF!</v>
      </c>
      <c r="P157" s="276" t="e">
        <f t="shared" si="52"/>
        <v>#REF!</v>
      </c>
      <c r="Q157" s="276" t="e">
        <f t="shared" si="52"/>
        <v>#REF!</v>
      </c>
      <c r="R157" s="276" t="e">
        <f t="shared" si="52"/>
        <v>#REF!</v>
      </c>
      <c r="S157" s="276" t="e">
        <f t="shared" si="52"/>
        <v>#REF!</v>
      </c>
      <c r="T157" s="276" t="e">
        <f t="shared" si="52"/>
        <v>#REF!</v>
      </c>
      <c r="U157" s="276" t="e">
        <f t="shared" si="52"/>
        <v>#REF!</v>
      </c>
      <c r="V157" s="276" t="e">
        <f t="shared" si="52"/>
        <v>#REF!</v>
      </c>
      <c r="W157" s="276" t="e">
        <f t="shared" si="52"/>
        <v>#REF!</v>
      </c>
      <c r="X157" s="276" t="e">
        <f t="shared" si="52"/>
        <v>#REF!</v>
      </c>
      <c r="Y157" s="276" t="e">
        <f t="shared" si="52"/>
        <v>#REF!</v>
      </c>
      <c r="Z157" s="276" t="e">
        <f t="shared" si="52"/>
        <v>#REF!</v>
      </c>
      <c r="AA157" s="276" t="e">
        <f t="shared" si="52"/>
        <v>#REF!</v>
      </c>
      <c r="AB157" s="276" t="e">
        <f t="shared" si="52"/>
        <v>#REF!</v>
      </c>
      <c r="AC157" s="276" t="e">
        <f t="shared" si="52"/>
        <v>#REF!</v>
      </c>
      <c r="AD157" s="276" t="e">
        <f t="shared" si="52"/>
        <v>#REF!</v>
      </c>
      <c r="AE157" s="276" t="e">
        <f t="shared" si="52"/>
        <v>#REF!</v>
      </c>
      <c r="AF157" s="276" t="e">
        <f t="shared" si="52"/>
        <v>#REF!</v>
      </c>
      <c r="AG157" s="276" t="e">
        <f t="shared" si="52"/>
        <v>#REF!</v>
      </c>
      <c r="AH157" s="276" t="e">
        <f t="shared" si="52"/>
        <v>#REF!</v>
      </c>
      <c r="AI157" s="276" t="e">
        <f t="shared" si="52"/>
        <v>#REF!</v>
      </c>
      <c r="AJ157" s="276" t="e">
        <f t="shared" si="52"/>
        <v>#REF!</v>
      </c>
      <c r="AK157" s="276" t="e">
        <f t="shared" si="52"/>
        <v>#REF!</v>
      </c>
      <c r="AL157" s="277" t="e">
        <f t="shared" si="52"/>
        <v>#REF!</v>
      </c>
    </row>
    <row r="158" spans="1:38" customFormat="1" outlineLevel="2">
      <c r="A158" s="309"/>
      <c r="B158" s="302"/>
      <c r="C158" s="349" t="s">
        <v>235</v>
      </c>
      <c r="D158" s="64" t="s">
        <v>431</v>
      </c>
      <c r="E158" s="332" t="s">
        <v>28</v>
      </c>
      <c r="F158" s="333" t="s">
        <v>28</v>
      </c>
      <c r="G158" s="333" t="s">
        <v>28</v>
      </c>
      <c r="H158" s="334" t="s">
        <v>28</v>
      </c>
      <c r="I158" s="283" t="str">
        <f>IF(I112&gt;=I113,"OK","BŁĄD")</f>
        <v>OK</v>
      </c>
      <c r="J158" s="276" t="str">
        <f t="shared" ref="J158:AL158" si="53">IF(J112&gt;=J113,"OK","BŁĄD")</f>
        <v>OK</v>
      </c>
      <c r="K158" s="276" t="str">
        <f t="shared" si="53"/>
        <v>OK</v>
      </c>
      <c r="L158" s="276" t="str">
        <f t="shared" si="53"/>
        <v>OK</v>
      </c>
      <c r="M158" s="276" t="e">
        <f t="shared" si="53"/>
        <v>#REF!</v>
      </c>
      <c r="N158" s="276" t="e">
        <f t="shared" si="53"/>
        <v>#REF!</v>
      </c>
      <c r="O158" s="276" t="e">
        <f t="shared" si="53"/>
        <v>#REF!</v>
      </c>
      <c r="P158" s="276" t="e">
        <f t="shared" si="53"/>
        <v>#REF!</v>
      </c>
      <c r="Q158" s="276" t="e">
        <f t="shared" si="53"/>
        <v>#REF!</v>
      </c>
      <c r="R158" s="276" t="e">
        <f t="shared" si="53"/>
        <v>#REF!</v>
      </c>
      <c r="S158" s="276" t="e">
        <f t="shared" si="53"/>
        <v>#REF!</v>
      </c>
      <c r="T158" s="276" t="e">
        <f t="shared" si="53"/>
        <v>#REF!</v>
      </c>
      <c r="U158" s="276" t="e">
        <f t="shared" si="53"/>
        <v>#REF!</v>
      </c>
      <c r="V158" s="276" t="e">
        <f t="shared" si="53"/>
        <v>#REF!</v>
      </c>
      <c r="W158" s="276" t="e">
        <f t="shared" si="53"/>
        <v>#REF!</v>
      </c>
      <c r="X158" s="276" t="e">
        <f t="shared" si="53"/>
        <v>#REF!</v>
      </c>
      <c r="Y158" s="276" t="e">
        <f t="shared" si="53"/>
        <v>#REF!</v>
      </c>
      <c r="Z158" s="276" t="e">
        <f t="shared" si="53"/>
        <v>#REF!</v>
      </c>
      <c r="AA158" s="276" t="e">
        <f t="shared" si="53"/>
        <v>#REF!</v>
      </c>
      <c r="AB158" s="276" t="e">
        <f t="shared" si="53"/>
        <v>#REF!</v>
      </c>
      <c r="AC158" s="276" t="e">
        <f t="shared" si="53"/>
        <v>#REF!</v>
      </c>
      <c r="AD158" s="276" t="e">
        <f t="shared" si="53"/>
        <v>#REF!</v>
      </c>
      <c r="AE158" s="276" t="e">
        <f t="shared" si="53"/>
        <v>#REF!</v>
      </c>
      <c r="AF158" s="276" t="e">
        <f t="shared" si="53"/>
        <v>#REF!</v>
      </c>
      <c r="AG158" s="276" t="e">
        <f t="shared" si="53"/>
        <v>#REF!</v>
      </c>
      <c r="AH158" s="276" t="e">
        <f t="shared" si="53"/>
        <v>#REF!</v>
      </c>
      <c r="AI158" s="276" t="e">
        <f t="shared" si="53"/>
        <v>#REF!</v>
      </c>
      <c r="AJ158" s="276" t="e">
        <f t="shared" si="53"/>
        <v>#REF!</v>
      </c>
      <c r="AK158" s="276" t="e">
        <f t="shared" si="53"/>
        <v>#REF!</v>
      </c>
      <c r="AL158" s="277" t="e">
        <f t="shared" si="53"/>
        <v>#REF!</v>
      </c>
    </row>
    <row r="159" spans="1:38" customFormat="1" outlineLevel="2">
      <c r="A159" s="309"/>
      <c r="B159" s="302"/>
      <c r="C159" s="349" t="s">
        <v>239</v>
      </c>
      <c r="D159" s="64" t="s">
        <v>287</v>
      </c>
      <c r="E159" s="332" t="s">
        <v>28</v>
      </c>
      <c r="F159" s="333" t="s">
        <v>28</v>
      </c>
      <c r="G159" s="333" t="s">
        <v>28</v>
      </c>
      <c r="H159" s="334" t="s">
        <v>28</v>
      </c>
      <c r="I159" s="283" t="str">
        <f t="shared" ref="I159:AL159" si="54">IF(I23&gt;=I24,"OK","BŁĄD")</f>
        <v>OK</v>
      </c>
      <c r="J159" s="276" t="str">
        <f t="shared" si="54"/>
        <v>OK</v>
      </c>
      <c r="K159" s="276" t="str">
        <f t="shared" si="54"/>
        <v>OK</v>
      </c>
      <c r="L159" s="276" t="str">
        <f t="shared" si="54"/>
        <v>OK</v>
      </c>
      <c r="M159" s="276" t="e">
        <f t="shared" si="54"/>
        <v>#REF!</v>
      </c>
      <c r="N159" s="276" t="e">
        <f t="shared" si="54"/>
        <v>#REF!</v>
      </c>
      <c r="O159" s="276" t="e">
        <f t="shared" si="54"/>
        <v>#REF!</v>
      </c>
      <c r="P159" s="276" t="e">
        <f t="shared" si="54"/>
        <v>#REF!</v>
      </c>
      <c r="Q159" s="276" t="e">
        <f t="shared" si="54"/>
        <v>#REF!</v>
      </c>
      <c r="R159" s="276" t="e">
        <f t="shared" si="54"/>
        <v>#REF!</v>
      </c>
      <c r="S159" s="276" t="e">
        <f t="shared" si="54"/>
        <v>#REF!</v>
      </c>
      <c r="T159" s="276" t="e">
        <f t="shared" si="54"/>
        <v>#REF!</v>
      </c>
      <c r="U159" s="276" t="e">
        <f t="shared" si="54"/>
        <v>#REF!</v>
      </c>
      <c r="V159" s="276" t="e">
        <f t="shared" si="54"/>
        <v>#REF!</v>
      </c>
      <c r="W159" s="276" t="e">
        <f t="shared" si="54"/>
        <v>#REF!</v>
      </c>
      <c r="X159" s="276" t="e">
        <f t="shared" si="54"/>
        <v>#REF!</v>
      </c>
      <c r="Y159" s="276" t="e">
        <f t="shared" si="54"/>
        <v>#REF!</v>
      </c>
      <c r="Z159" s="276" t="e">
        <f t="shared" si="54"/>
        <v>#REF!</v>
      </c>
      <c r="AA159" s="276" t="e">
        <f t="shared" si="54"/>
        <v>#REF!</v>
      </c>
      <c r="AB159" s="276" t="e">
        <f t="shared" si="54"/>
        <v>#REF!</v>
      </c>
      <c r="AC159" s="276" t="e">
        <f t="shared" si="54"/>
        <v>#REF!</v>
      </c>
      <c r="AD159" s="276" t="e">
        <f t="shared" si="54"/>
        <v>#REF!</v>
      </c>
      <c r="AE159" s="276" t="e">
        <f t="shared" si="54"/>
        <v>#REF!</v>
      </c>
      <c r="AF159" s="276" t="e">
        <f t="shared" si="54"/>
        <v>#REF!</v>
      </c>
      <c r="AG159" s="276" t="e">
        <f t="shared" si="54"/>
        <v>#REF!</v>
      </c>
      <c r="AH159" s="276" t="e">
        <f t="shared" si="54"/>
        <v>#REF!</v>
      </c>
      <c r="AI159" s="276" t="e">
        <f t="shared" si="54"/>
        <v>#REF!</v>
      </c>
      <c r="AJ159" s="276" t="e">
        <f t="shared" si="54"/>
        <v>#REF!</v>
      </c>
      <c r="AK159" s="276" t="e">
        <f t="shared" si="54"/>
        <v>#REF!</v>
      </c>
      <c r="AL159" s="277" t="e">
        <f t="shared" si="54"/>
        <v>#REF!</v>
      </c>
    </row>
    <row r="160" spans="1:38" customFormat="1" outlineLevel="2">
      <c r="A160" s="309"/>
      <c r="B160" s="302"/>
      <c r="C160" s="349" t="s">
        <v>238</v>
      </c>
      <c r="D160" s="64" t="s">
        <v>286</v>
      </c>
      <c r="E160" s="332" t="s">
        <v>28</v>
      </c>
      <c r="F160" s="333" t="s">
        <v>28</v>
      </c>
      <c r="G160" s="333" t="s">
        <v>28</v>
      </c>
      <c r="H160" s="334" t="s">
        <v>28</v>
      </c>
      <c r="I160" s="283" t="str">
        <f t="shared" ref="I160:AL160" si="55">IF(I23&gt;=I109,"OK","BŁĄD")</f>
        <v>OK</v>
      </c>
      <c r="J160" s="276" t="str">
        <f t="shared" si="55"/>
        <v>OK</v>
      </c>
      <c r="K160" s="276" t="str">
        <f t="shared" si="55"/>
        <v>OK</v>
      </c>
      <c r="L160" s="276" t="str">
        <f t="shared" si="55"/>
        <v>OK</v>
      </c>
      <c r="M160" s="276" t="e">
        <f t="shared" si="55"/>
        <v>#REF!</v>
      </c>
      <c r="N160" s="276" t="e">
        <f t="shared" si="55"/>
        <v>#REF!</v>
      </c>
      <c r="O160" s="276" t="e">
        <f t="shared" si="55"/>
        <v>#REF!</v>
      </c>
      <c r="P160" s="276" t="e">
        <f t="shared" si="55"/>
        <v>#REF!</v>
      </c>
      <c r="Q160" s="276" t="e">
        <f t="shared" si="55"/>
        <v>#REF!</v>
      </c>
      <c r="R160" s="276" t="e">
        <f t="shared" si="55"/>
        <v>#REF!</v>
      </c>
      <c r="S160" s="276" t="e">
        <f t="shared" si="55"/>
        <v>#REF!</v>
      </c>
      <c r="T160" s="276" t="e">
        <f t="shared" si="55"/>
        <v>#REF!</v>
      </c>
      <c r="U160" s="276" t="e">
        <f t="shared" si="55"/>
        <v>#REF!</v>
      </c>
      <c r="V160" s="276" t="e">
        <f t="shared" si="55"/>
        <v>#REF!</v>
      </c>
      <c r="W160" s="276" t="e">
        <f t="shared" si="55"/>
        <v>#REF!</v>
      </c>
      <c r="X160" s="276" t="e">
        <f t="shared" si="55"/>
        <v>#REF!</v>
      </c>
      <c r="Y160" s="276" t="e">
        <f t="shared" si="55"/>
        <v>#REF!</v>
      </c>
      <c r="Z160" s="276" t="e">
        <f t="shared" si="55"/>
        <v>#REF!</v>
      </c>
      <c r="AA160" s="276" t="e">
        <f t="shared" si="55"/>
        <v>#REF!</v>
      </c>
      <c r="AB160" s="276" t="e">
        <f t="shared" si="55"/>
        <v>#REF!</v>
      </c>
      <c r="AC160" s="276" t="e">
        <f t="shared" si="55"/>
        <v>#REF!</v>
      </c>
      <c r="AD160" s="276" t="e">
        <f t="shared" si="55"/>
        <v>#REF!</v>
      </c>
      <c r="AE160" s="276" t="e">
        <f t="shared" si="55"/>
        <v>#REF!</v>
      </c>
      <c r="AF160" s="276" t="e">
        <f t="shared" si="55"/>
        <v>#REF!</v>
      </c>
      <c r="AG160" s="276" t="e">
        <f t="shared" si="55"/>
        <v>#REF!</v>
      </c>
      <c r="AH160" s="276" t="e">
        <f t="shared" si="55"/>
        <v>#REF!</v>
      </c>
      <c r="AI160" s="276" t="e">
        <f t="shared" si="55"/>
        <v>#REF!</v>
      </c>
      <c r="AJ160" s="276" t="e">
        <f t="shared" si="55"/>
        <v>#REF!</v>
      </c>
      <c r="AK160" s="276" t="e">
        <f t="shared" si="55"/>
        <v>#REF!</v>
      </c>
      <c r="AL160" s="277" t="e">
        <f t="shared" si="55"/>
        <v>#REF!</v>
      </c>
    </row>
    <row r="161" spans="1:38" customFormat="1" outlineLevel="2">
      <c r="A161" s="309"/>
      <c r="B161" s="302"/>
      <c r="C161" s="349" t="s">
        <v>240</v>
      </c>
      <c r="D161" s="64" t="s">
        <v>288</v>
      </c>
      <c r="E161" s="332" t="s">
        <v>28</v>
      </c>
      <c r="F161" s="333" t="s">
        <v>28</v>
      </c>
      <c r="G161" s="333" t="s">
        <v>28</v>
      </c>
      <c r="H161" s="334" t="s">
        <v>28</v>
      </c>
      <c r="I161" s="283" t="str">
        <f t="shared" ref="I161:AL161" si="56">IF(I26&gt;=I27,"OK","BŁĄD")</f>
        <v>OK</v>
      </c>
      <c r="J161" s="276" t="str">
        <f t="shared" si="56"/>
        <v>OK</v>
      </c>
      <c r="K161" s="276" t="str">
        <f t="shared" si="56"/>
        <v>OK</v>
      </c>
      <c r="L161" s="276" t="str">
        <f t="shared" si="56"/>
        <v>OK</v>
      </c>
      <c r="M161" s="276" t="e">
        <f t="shared" si="56"/>
        <v>#REF!</v>
      </c>
      <c r="N161" s="276" t="e">
        <f t="shared" si="56"/>
        <v>#REF!</v>
      </c>
      <c r="O161" s="276" t="e">
        <f t="shared" si="56"/>
        <v>#REF!</v>
      </c>
      <c r="P161" s="276" t="e">
        <f t="shared" si="56"/>
        <v>#REF!</v>
      </c>
      <c r="Q161" s="276" t="e">
        <f t="shared" si="56"/>
        <v>#REF!</v>
      </c>
      <c r="R161" s="276" t="e">
        <f t="shared" si="56"/>
        <v>#REF!</v>
      </c>
      <c r="S161" s="276" t="e">
        <f t="shared" si="56"/>
        <v>#REF!</v>
      </c>
      <c r="T161" s="276" t="e">
        <f t="shared" si="56"/>
        <v>#REF!</v>
      </c>
      <c r="U161" s="276" t="e">
        <f t="shared" si="56"/>
        <v>#REF!</v>
      </c>
      <c r="V161" s="276" t="e">
        <f t="shared" si="56"/>
        <v>#REF!</v>
      </c>
      <c r="W161" s="276" t="e">
        <f t="shared" si="56"/>
        <v>#REF!</v>
      </c>
      <c r="X161" s="276" t="e">
        <f t="shared" si="56"/>
        <v>#REF!</v>
      </c>
      <c r="Y161" s="276" t="e">
        <f t="shared" si="56"/>
        <v>#REF!</v>
      </c>
      <c r="Z161" s="276" t="e">
        <f t="shared" si="56"/>
        <v>#REF!</v>
      </c>
      <c r="AA161" s="276" t="e">
        <f t="shared" si="56"/>
        <v>#REF!</v>
      </c>
      <c r="AB161" s="276" t="e">
        <f t="shared" si="56"/>
        <v>#REF!</v>
      </c>
      <c r="AC161" s="276" t="e">
        <f t="shared" si="56"/>
        <v>#REF!</v>
      </c>
      <c r="AD161" s="276" t="e">
        <f t="shared" si="56"/>
        <v>#REF!</v>
      </c>
      <c r="AE161" s="276" t="e">
        <f t="shared" si="56"/>
        <v>#REF!</v>
      </c>
      <c r="AF161" s="276" t="e">
        <f t="shared" si="56"/>
        <v>#REF!</v>
      </c>
      <c r="AG161" s="276" t="e">
        <f t="shared" si="56"/>
        <v>#REF!</v>
      </c>
      <c r="AH161" s="276" t="e">
        <f t="shared" si="56"/>
        <v>#REF!</v>
      </c>
      <c r="AI161" s="276" t="e">
        <f t="shared" si="56"/>
        <v>#REF!</v>
      </c>
      <c r="AJ161" s="276" t="e">
        <f t="shared" si="56"/>
        <v>#REF!</v>
      </c>
      <c r="AK161" s="276" t="e">
        <f t="shared" si="56"/>
        <v>#REF!</v>
      </c>
      <c r="AL161" s="277" t="e">
        <f t="shared" si="56"/>
        <v>#REF!</v>
      </c>
    </row>
    <row r="162" spans="1:38" customFormat="1" outlineLevel="2">
      <c r="A162" s="309"/>
      <c r="B162" s="302"/>
      <c r="C162" s="349" t="s">
        <v>240</v>
      </c>
      <c r="D162" s="64" t="s">
        <v>430</v>
      </c>
      <c r="E162" s="332" t="s">
        <v>28</v>
      </c>
      <c r="F162" s="333" t="s">
        <v>28</v>
      </c>
      <c r="G162" s="333" t="s">
        <v>28</v>
      </c>
      <c r="H162" s="334" t="s">
        <v>28</v>
      </c>
      <c r="I162" s="283" t="str">
        <f>IF(I27&gt;=(I28+I29),"OK","BŁĄD")</f>
        <v>OK</v>
      </c>
      <c r="J162" s="276" t="str">
        <f t="shared" ref="J162:AL162" si="57">IF(J27&gt;=J28,"OK","BŁĄD")</f>
        <v>OK</v>
      </c>
      <c r="K162" s="276" t="str">
        <f t="shared" si="57"/>
        <v>OK</v>
      </c>
      <c r="L162" s="276" t="str">
        <f t="shared" si="57"/>
        <v>OK</v>
      </c>
      <c r="M162" s="276" t="e">
        <f t="shared" si="57"/>
        <v>#REF!</v>
      </c>
      <c r="N162" s="276" t="e">
        <f t="shared" si="57"/>
        <v>#REF!</v>
      </c>
      <c r="O162" s="276" t="e">
        <f t="shared" si="57"/>
        <v>#REF!</v>
      </c>
      <c r="P162" s="276" t="e">
        <f t="shared" si="57"/>
        <v>#REF!</v>
      </c>
      <c r="Q162" s="276" t="e">
        <f t="shared" si="57"/>
        <v>#REF!</v>
      </c>
      <c r="R162" s="276" t="e">
        <f t="shared" si="57"/>
        <v>#REF!</v>
      </c>
      <c r="S162" s="276" t="e">
        <f t="shared" si="57"/>
        <v>#REF!</v>
      </c>
      <c r="T162" s="276" t="e">
        <f t="shared" si="57"/>
        <v>#REF!</v>
      </c>
      <c r="U162" s="276" t="e">
        <f t="shared" si="57"/>
        <v>#REF!</v>
      </c>
      <c r="V162" s="276" t="e">
        <f t="shared" si="57"/>
        <v>#REF!</v>
      </c>
      <c r="W162" s="276" t="e">
        <f t="shared" si="57"/>
        <v>#REF!</v>
      </c>
      <c r="X162" s="276" t="e">
        <f t="shared" si="57"/>
        <v>#REF!</v>
      </c>
      <c r="Y162" s="276" t="e">
        <f t="shared" si="57"/>
        <v>#REF!</v>
      </c>
      <c r="Z162" s="276" t="e">
        <f t="shared" si="57"/>
        <v>#REF!</v>
      </c>
      <c r="AA162" s="276" t="e">
        <f t="shared" si="57"/>
        <v>#REF!</v>
      </c>
      <c r="AB162" s="276" t="e">
        <f t="shared" si="57"/>
        <v>#REF!</v>
      </c>
      <c r="AC162" s="276" t="e">
        <f t="shared" si="57"/>
        <v>#REF!</v>
      </c>
      <c r="AD162" s="276" t="e">
        <f t="shared" si="57"/>
        <v>#REF!</v>
      </c>
      <c r="AE162" s="276" t="e">
        <f t="shared" si="57"/>
        <v>#REF!</v>
      </c>
      <c r="AF162" s="276" t="e">
        <f t="shared" si="57"/>
        <v>#REF!</v>
      </c>
      <c r="AG162" s="276" t="e">
        <f t="shared" si="57"/>
        <v>#REF!</v>
      </c>
      <c r="AH162" s="276" t="e">
        <f t="shared" si="57"/>
        <v>#REF!</v>
      </c>
      <c r="AI162" s="276" t="e">
        <f t="shared" si="57"/>
        <v>#REF!</v>
      </c>
      <c r="AJ162" s="276" t="e">
        <f t="shared" si="57"/>
        <v>#REF!</v>
      </c>
      <c r="AK162" s="276" t="e">
        <f t="shared" si="57"/>
        <v>#REF!</v>
      </c>
      <c r="AL162" s="277" t="e">
        <f t="shared" si="57"/>
        <v>#REF!</v>
      </c>
    </row>
    <row r="163" spans="1:38" customFormat="1" outlineLevel="2">
      <c r="A163" s="309"/>
      <c r="B163" s="302"/>
      <c r="C163" s="349" t="s">
        <v>241</v>
      </c>
      <c r="D163" s="64" t="s">
        <v>289</v>
      </c>
      <c r="E163" s="332" t="s">
        <v>28</v>
      </c>
      <c r="F163" s="333" t="s">
        <v>28</v>
      </c>
      <c r="G163" s="333" t="s">
        <v>28</v>
      </c>
      <c r="H163" s="334" t="s">
        <v>28</v>
      </c>
      <c r="I163" s="283" t="str">
        <f t="shared" ref="I163:AL163" si="58">IF(I22&gt;=(I23+I25+I26),"OK","BŁĄD")</f>
        <v>OK</v>
      </c>
      <c r="J163" s="276" t="str">
        <f t="shared" si="58"/>
        <v>OK</v>
      </c>
      <c r="K163" s="276" t="str">
        <f t="shared" si="58"/>
        <v>OK</v>
      </c>
      <c r="L163" s="276" t="str">
        <f t="shared" si="58"/>
        <v>OK</v>
      </c>
      <c r="M163" s="276" t="e">
        <f t="shared" si="58"/>
        <v>#REF!</v>
      </c>
      <c r="N163" s="276" t="e">
        <f t="shared" si="58"/>
        <v>#REF!</v>
      </c>
      <c r="O163" s="276" t="e">
        <f t="shared" si="58"/>
        <v>#REF!</v>
      </c>
      <c r="P163" s="276" t="e">
        <f t="shared" si="58"/>
        <v>#REF!</v>
      </c>
      <c r="Q163" s="276" t="e">
        <f t="shared" si="58"/>
        <v>#REF!</v>
      </c>
      <c r="R163" s="276" t="e">
        <f t="shared" si="58"/>
        <v>#REF!</v>
      </c>
      <c r="S163" s="276" t="e">
        <f t="shared" si="58"/>
        <v>#REF!</v>
      </c>
      <c r="T163" s="276" t="e">
        <f t="shared" si="58"/>
        <v>#REF!</v>
      </c>
      <c r="U163" s="276" t="e">
        <f t="shared" si="58"/>
        <v>#REF!</v>
      </c>
      <c r="V163" s="276" t="e">
        <f t="shared" si="58"/>
        <v>#REF!</v>
      </c>
      <c r="W163" s="276" t="e">
        <f t="shared" si="58"/>
        <v>#REF!</v>
      </c>
      <c r="X163" s="276" t="e">
        <f t="shared" si="58"/>
        <v>#REF!</v>
      </c>
      <c r="Y163" s="276" t="e">
        <f t="shared" si="58"/>
        <v>#REF!</v>
      </c>
      <c r="Z163" s="276" t="e">
        <f t="shared" si="58"/>
        <v>#REF!</v>
      </c>
      <c r="AA163" s="276" t="e">
        <f t="shared" si="58"/>
        <v>#REF!</v>
      </c>
      <c r="AB163" s="276" t="e">
        <f t="shared" si="58"/>
        <v>#REF!</v>
      </c>
      <c r="AC163" s="276" t="e">
        <f t="shared" si="58"/>
        <v>#REF!</v>
      </c>
      <c r="AD163" s="276" t="e">
        <f t="shared" si="58"/>
        <v>#REF!</v>
      </c>
      <c r="AE163" s="276" t="e">
        <f t="shared" si="58"/>
        <v>#REF!</v>
      </c>
      <c r="AF163" s="276" t="e">
        <f t="shared" si="58"/>
        <v>#REF!</v>
      </c>
      <c r="AG163" s="276" t="e">
        <f t="shared" si="58"/>
        <v>#REF!</v>
      </c>
      <c r="AH163" s="276" t="e">
        <f t="shared" si="58"/>
        <v>#REF!</v>
      </c>
      <c r="AI163" s="276" t="e">
        <f t="shared" si="58"/>
        <v>#REF!</v>
      </c>
      <c r="AJ163" s="276" t="e">
        <f t="shared" si="58"/>
        <v>#REF!</v>
      </c>
      <c r="AK163" s="276" t="e">
        <f t="shared" si="58"/>
        <v>#REF!</v>
      </c>
      <c r="AL163" s="277" t="e">
        <f t="shared" si="58"/>
        <v>#REF!</v>
      </c>
    </row>
    <row r="164" spans="1:38" customFormat="1" outlineLevel="2">
      <c r="A164" s="309"/>
      <c r="B164" s="302"/>
      <c r="C164" s="349" t="s">
        <v>242</v>
      </c>
      <c r="D164" s="64" t="s">
        <v>290</v>
      </c>
      <c r="E164" s="332" t="s">
        <v>28</v>
      </c>
      <c r="F164" s="333" t="s">
        <v>28</v>
      </c>
      <c r="G164" s="333" t="s">
        <v>28</v>
      </c>
      <c r="H164" s="334" t="s">
        <v>28</v>
      </c>
      <c r="I164" s="283" t="str">
        <f t="shared" ref="I164:AL164" si="59">IF(I22&gt;=I66,"OK","BŁĄD")</f>
        <v>OK</v>
      </c>
      <c r="J164" s="276" t="str">
        <f t="shared" si="59"/>
        <v>OK</v>
      </c>
      <c r="K164" s="276" t="str">
        <f t="shared" si="59"/>
        <v>OK</v>
      </c>
      <c r="L164" s="276" t="str">
        <f t="shared" si="59"/>
        <v>OK</v>
      </c>
      <c r="M164" s="276" t="e">
        <f t="shared" si="59"/>
        <v>#REF!</v>
      </c>
      <c r="N164" s="276" t="e">
        <f t="shared" si="59"/>
        <v>#REF!</v>
      </c>
      <c r="O164" s="276" t="e">
        <f t="shared" si="59"/>
        <v>#REF!</v>
      </c>
      <c r="P164" s="276" t="e">
        <f t="shared" si="59"/>
        <v>#REF!</v>
      </c>
      <c r="Q164" s="276" t="e">
        <f t="shared" si="59"/>
        <v>#REF!</v>
      </c>
      <c r="R164" s="276" t="e">
        <f t="shared" si="59"/>
        <v>#REF!</v>
      </c>
      <c r="S164" s="276" t="e">
        <f t="shared" si="59"/>
        <v>#REF!</v>
      </c>
      <c r="T164" s="276" t="e">
        <f t="shared" si="59"/>
        <v>#REF!</v>
      </c>
      <c r="U164" s="276" t="e">
        <f t="shared" si="59"/>
        <v>#REF!</v>
      </c>
      <c r="V164" s="276" t="e">
        <f t="shared" si="59"/>
        <v>#REF!</v>
      </c>
      <c r="W164" s="276" t="e">
        <f t="shared" si="59"/>
        <v>#REF!</v>
      </c>
      <c r="X164" s="276" t="e">
        <f t="shared" si="59"/>
        <v>#REF!</v>
      </c>
      <c r="Y164" s="276" t="e">
        <f t="shared" si="59"/>
        <v>#REF!</v>
      </c>
      <c r="Z164" s="276" t="e">
        <f t="shared" si="59"/>
        <v>#REF!</v>
      </c>
      <c r="AA164" s="276" t="e">
        <f t="shared" si="59"/>
        <v>#REF!</v>
      </c>
      <c r="AB164" s="276" t="e">
        <f t="shared" si="59"/>
        <v>#REF!</v>
      </c>
      <c r="AC164" s="276" t="e">
        <f t="shared" si="59"/>
        <v>#REF!</v>
      </c>
      <c r="AD164" s="276" t="e">
        <f t="shared" si="59"/>
        <v>#REF!</v>
      </c>
      <c r="AE164" s="276" t="e">
        <f t="shared" si="59"/>
        <v>#REF!</v>
      </c>
      <c r="AF164" s="276" t="e">
        <f t="shared" si="59"/>
        <v>#REF!</v>
      </c>
      <c r="AG164" s="276" t="e">
        <f t="shared" si="59"/>
        <v>#REF!</v>
      </c>
      <c r="AH164" s="276" t="e">
        <f t="shared" si="59"/>
        <v>#REF!</v>
      </c>
      <c r="AI164" s="276" t="e">
        <f t="shared" si="59"/>
        <v>#REF!</v>
      </c>
      <c r="AJ164" s="276" t="e">
        <f t="shared" si="59"/>
        <v>#REF!</v>
      </c>
      <c r="AK164" s="276" t="e">
        <f t="shared" si="59"/>
        <v>#REF!</v>
      </c>
      <c r="AL164" s="277" t="e">
        <f t="shared" si="59"/>
        <v>#REF!</v>
      </c>
    </row>
    <row r="165" spans="1:38" customFormat="1" outlineLevel="2">
      <c r="A165" s="309"/>
      <c r="B165" s="302"/>
      <c r="C165" s="349" t="s">
        <v>243</v>
      </c>
      <c r="D165" s="64" t="s">
        <v>291</v>
      </c>
      <c r="E165" s="332" t="s">
        <v>28</v>
      </c>
      <c r="F165" s="333" t="s">
        <v>28</v>
      </c>
      <c r="G165" s="333" t="s">
        <v>28</v>
      </c>
      <c r="H165" s="334" t="s">
        <v>28</v>
      </c>
      <c r="I165" s="283" t="str">
        <f t="shared" ref="I165:AL165" si="60">IF(I22&gt;=I69,"OK","BŁĄD")</f>
        <v>OK</v>
      </c>
      <c r="J165" s="276" t="str">
        <f t="shared" si="60"/>
        <v>OK</v>
      </c>
      <c r="K165" s="276" t="str">
        <f t="shared" si="60"/>
        <v>OK</v>
      </c>
      <c r="L165" s="276" t="str">
        <f t="shared" si="60"/>
        <v>OK</v>
      </c>
      <c r="M165" s="276" t="e">
        <f t="shared" si="60"/>
        <v>#REF!</v>
      </c>
      <c r="N165" s="276" t="e">
        <f t="shared" si="60"/>
        <v>#REF!</v>
      </c>
      <c r="O165" s="276" t="e">
        <f t="shared" si="60"/>
        <v>#REF!</v>
      </c>
      <c r="P165" s="276" t="e">
        <f t="shared" si="60"/>
        <v>#REF!</v>
      </c>
      <c r="Q165" s="276" t="e">
        <f t="shared" si="60"/>
        <v>#REF!</v>
      </c>
      <c r="R165" s="276" t="e">
        <f t="shared" si="60"/>
        <v>#REF!</v>
      </c>
      <c r="S165" s="276" t="e">
        <f t="shared" si="60"/>
        <v>#REF!</v>
      </c>
      <c r="T165" s="276" t="e">
        <f t="shared" si="60"/>
        <v>#REF!</v>
      </c>
      <c r="U165" s="276" t="e">
        <f t="shared" si="60"/>
        <v>#REF!</v>
      </c>
      <c r="V165" s="276" t="e">
        <f t="shared" si="60"/>
        <v>#REF!</v>
      </c>
      <c r="W165" s="276" t="e">
        <f t="shared" si="60"/>
        <v>#REF!</v>
      </c>
      <c r="X165" s="276" t="e">
        <f t="shared" si="60"/>
        <v>#REF!</v>
      </c>
      <c r="Y165" s="276" t="e">
        <f t="shared" si="60"/>
        <v>#REF!</v>
      </c>
      <c r="Z165" s="276" t="e">
        <f t="shared" si="60"/>
        <v>#REF!</v>
      </c>
      <c r="AA165" s="276" t="e">
        <f t="shared" si="60"/>
        <v>#REF!</v>
      </c>
      <c r="AB165" s="276" t="e">
        <f t="shared" si="60"/>
        <v>#REF!</v>
      </c>
      <c r="AC165" s="276" t="e">
        <f t="shared" si="60"/>
        <v>#REF!</v>
      </c>
      <c r="AD165" s="276" t="e">
        <f t="shared" si="60"/>
        <v>#REF!</v>
      </c>
      <c r="AE165" s="276" t="e">
        <f t="shared" si="60"/>
        <v>#REF!</v>
      </c>
      <c r="AF165" s="276" t="e">
        <f t="shared" si="60"/>
        <v>#REF!</v>
      </c>
      <c r="AG165" s="276" t="e">
        <f t="shared" si="60"/>
        <v>#REF!</v>
      </c>
      <c r="AH165" s="276" t="e">
        <f t="shared" si="60"/>
        <v>#REF!</v>
      </c>
      <c r="AI165" s="276" t="e">
        <f t="shared" si="60"/>
        <v>#REF!</v>
      </c>
      <c r="AJ165" s="276" t="e">
        <f t="shared" si="60"/>
        <v>#REF!</v>
      </c>
      <c r="AK165" s="276" t="e">
        <f t="shared" si="60"/>
        <v>#REF!</v>
      </c>
      <c r="AL165" s="277" t="e">
        <f t="shared" si="60"/>
        <v>#REF!</v>
      </c>
    </row>
    <row r="166" spans="1:38" customFormat="1" outlineLevel="2">
      <c r="A166" s="309"/>
      <c r="B166" s="302"/>
      <c r="C166" s="349" t="s">
        <v>244</v>
      </c>
      <c r="D166" s="64" t="s">
        <v>292</v>
      </c>
      <c r="E166" s="332" t="s">
        <v>28</v>
      </c>
      <c r="F166" s="333" t="s">
        <v>28</v>
      </c>
      <c r="G166" s="333" t="s">
        <v>28</v>
      </c>
      <c r="H166" s="334" t="s">
        <v>28</v>
      </c>
      <c r="I166" s="283" t="str">
        <f t="shared" ref="I166:AL166" si="61">IF(I22&gt;=I81,"OK","BŁĄD")</f>
        <v>OK</v>
      </c>
      <c r="J166" s="276" t="str">
        <f t="shared" si="61"/>
        <v>OK</v>
      </c>
      <c r="K166" s="276" t="str">
        <f t="shared" si="61"/>
        <v>OK</v>
      </c>
      <c r="L166" s="276" t="str">
        <f t="shared" si="61"/>
        <v>OK</v>
      </c>
      <c r="M166" s="276" t="e">
        <f t="shared" si="61"/>
        <v>#REF!</v>
      </c>
      <c r="N166" s="276" t="e">
        <f t="shared" si="61"/>
        <v>#REF!</v>
      </c>
      <c r="O166" s="276" t="e">
        <f t="shared" si="61"/>
        <v>#REF!</v>
      </c>
      <c r="P166" s="276" t="e">
        <f t="shared" si="61"/>
        <v>#REF!</v>
      </c>
      <c r="Q166" s="276" t="e">
        <f t="shared" si="61"/>
        <v>#REF!</v>
      </c>
      <c r="R166" s="276" t="e">
        <f t="shared" si="61"/>
        <v>#REF!</v>
      </c>
      <c r="S166" s="276" t="e">
        <f t="shared" si="61"/>
        <v>#REF!</v>
      </c>
      <c r="T166" s="276" t="e">
        <f t="shared" si="61"/>
        <v>#REF!</v>
      </c>
      <c r="U166" s="276" t="e">
        <f t="shared" si="61"/>
        <v>#REF!</v>
      </c>
      <c r="V166" s="276" t="e">
        <f t="shared" si="61"/>
        <v>#REF!</v>
      </c>
      <c r="W166" s="276" t="e">
        <f t="shared" si="61"/>
        <v>#REF!</v>
      </c>
      <c r="X166" s="276" t="e">
        <f t="shared" si="61"/>
        <v>#REF!</v>
      </c>
      <c r="Y166" s="276" t="e">
        <f t="shared" si="61"/>
        <v>#REF!</v>
      </c>
      <c r="Z166" s="276" t="e">
        <f t="shared" si="61"/>
        <v>#REF!</v>
      </c>
      <c r="AA166" s="276" t="e">
        <f t="shared" si="61"/>
        <v>#REF!</v>
      </c>
      <c r="AB166" s="276" t="e">
        <f t="shared" si="61"/>
        <v>#REF!</v>
      </c>
      <c r="AC166" s="276" t="e">
        <f t="shared" si="61"/>
        <v>#REF!</v>
      </c>
      <c r="AD166" s="276" t="e">
        <f t="shared" si="61"/>
        <v>#REF!</v>
      </c>
      <c r="AE166" s="276" t="e">
        <f t="shared" si="61"/>
        <v>#REF!</v>
      </c>
      <c r="AF166" s="276" t="e">
        <f t="shared" si="61"/>
        <v>#REF!</v>
      </c>
      <c r="AG166" s="276" t="e">
        <f t="shared" si="61"/>
        <v>#REF!</v>
      </c>
      <c r="AH166" s="276" t="e">
        <f t="shared" si="61"/>
        <v>#REF!</v>
      </c>
      <c r="AI166" s="276" t="e">
        <f t="shared" si="61"/>
        <v>#REF!</v>
      </c>
      <c r="AJ166" s="276" t="e">
        <f t="shared" si="61"/>
        <v>#REF!</v>
      </c>
      <c r="AK166" s="276" t="e">
        <f t="shared" si="61"/>
        <v>#REF!</v>
      </c>
      <c r="AL166" s="277" t="e">
        <f t="shared" si="61"/>
        <v>#REF!</v>
      </c>
    </row>
    <row r="167" spans="1:38" customFormat="1" outlineLevel="2">
      <c r="A167" s="309"/>
      <c r="B167" s="302"/>
      <c r="C167" s="349" t="s">
        <v>245</v>
      </c>
      <c r="D167" s="64" t="s">
        <v>293</v>
      </c>
      <c r="E167" s="332" t="s">
        <v>28</v>
      </c>
      <c r="F167" s="333" t="s">
        <v>28</v>
      </c>
      <c r="G167" s="333" t="s">
        <v>28</v>
      </c>
      <c r="H167" s="334" t="s">
        <v>28</v>
      </c>
      <c r="I167" s="283" t="str">
        <f t="shared" ref="I167:AL167" si="62">IF(I22&gt;=I102,"OK","BŁĄD")</f>
        <v>OK</v>
      </c>
      <c r="J167" s="276" t="str">
        <f t="shared" si="62"/>
        <v>OK</v>
      </c>
      <c r="K167" s="276" t="str">
        <f t="shared" si="62"/>
        <v>OK</v>
      </c>
      <c r="L167" s="276" t="str">
        <f t="shared" si="62"/>
        <v>OK</v>
      </c>
      <c r="M167" s="276" t="e">
        <f t="shared" si="62"/>
        <v>#REF!</v>
      </c>
      <c r="N167" s="276" t="e">
        <f t="shared" si="62"/>
        <v>#REF!</v>
      </c>
      <c r="O167" s="276" t="e">
        <f t="shared" si="62"/>
        <v>#REF!</v>
      </c>
      <c r="P167" s="276" t="e">
        <f t="shared" si="62"/>
        <v>#REF!</v>
      </c>
      <c r="Q167" s="276" t="e">
        <f t="shared" si="62"/>
        <v>#REF!</v>
      </c>
      <c r="R167" s="276" t="e">
        <f t="shared" si="62"/>
        <v>#REF!</v>
      </c>
      <c r="S167" s="276" t="e">
        <f t="shared" si="62"/>
        <v>#REF!</v>
      </c>
      <c r="T167" s="276" t="e">
        <f t="shared" si="62"/>
        <v>#REF!</v>
      </c>
      <c r="U167" s="276" t="e">
        <f t="shared" si="62"/>
        <v>#REF!</v>
      </c>
      <c r="V167" s="276" t="e">
        <f t="shared" si="62"/>
        <v>#REF!</v>
      </c>
      <c r="W167" s="276" t="e">
        <f t="shared" si="62"/>
        <v>#REF!</v>
      </c>
      <c r="X167" s="276" t="e">
        <f t="shared" si="62"/>
        <v>#REF!</v>
      </c>
      <c r="Y167" s="276" t="e">
        <f t="shared" si="62"/>
        <v>#REF!</v>
      </c>
      <c r="Z167" s="276" t="e">
        <f t="shared" si="62"/>
        <v>#REF!</v>
      </c>
      <c r="AA167" s="276" t="e">
        <f t="shared" si="62"/>
        <v>#REF!</v>
      </c>
      <c r="AB167" s="276" t="e">
        <f t="shared" si="62"/>
        <v>#REF!</v>
      </c>
      <c r="AC167" s="276" t="e">
        <f t="shared" si="62"/>
        <v>#REF!</v>
      </c>
      <c r="AD167" s="276" t="e">
        <f t="shared" si="62"/>
        <v>#REF!</v>
      </c>
      <c r="AE167" s="276" t="e">
        <f t="shared" si="62"/>
        <v>#REF!</v>
      </c>
      <c r="AF167" s="276" t="e">
        <f t="shared" si="62"/>
        <v>#REF!</v>
      </c>
      <c r="AG167" s="276" t="e">
        <f t="shared" si="62"/>
        <v>#REF!</v>
      </c>
      <c r="AH167" s="276" t="e">
        <f t="shared" si="62"/>
        <v>#REF!</v>
      </c>
      <c r="AI167" s="276" t="e">
        <f t="shared" si="62"/>
        <v>#REF!</v>
      </c>
      <c r="AJ167" s="276" t="e">
        <f t="shared" si="62"/>
        <v>#REF!</v>
      </c>
      <c r="AK167" s="276" t="e">
        <f t="shared" si="62"/>
        <v>#REF!</v>
      </c>
      <c r="AL167" s="277" t="e">
        <f t="shared" si="62"/>
        <v>#REF!</v>
      </c>
    </row>
    <row r="168" spans="1:38" customFormat="1" outlineLevel="2">
      <c r="A168" s="309"/>
      <c r="B168" s="302"/>
      <c r="C168" s="349" t="s">
        <v>246</v>
      </c>
      <c r="D168" s="64" t="s">
        <v>294</v>
      </c>
      <c r="E168" s="332" t="s">
        <v>28</v>
      </c>
      <c r="F168" s="333" t="s">
        <v>28</v>
      </c>
      <c r="G168" s="333" t="s">
        <v>28</v>
      </c>
      <c r="H168" s="334" t="s">
        <v>28</v>
      </c>
      <c r="I168" s="283" t="str">
        <f t="shared" ref="I168:AL168" si="63">IF(I30&gt;=I70,"OK","BŁĄD")</f>
        <v>OK</v>
      </c>
      <c r="J168" s="276" t="str">
        <f t="shared" si="63"/>
        <v>OK</v>
      </c>
      <c r="K168" s="276" t="str">
        <f t="shared" si="63"/>
        <v>OK</v>
      </c>
      <c r="L168" s="276" t="str">
        <f t="shared" si="63"/>
        <v>OK</v>
      </c>
      <c r="M168" s="276" t="e">
        <f t="shared" si="63"/>
        <v>#REF!</v>
      </c>
      <c r="N168" s="276" t="e">
        <f t="shared" si="63"/>
        <v>#REF!</v>
      </c>
      <c r="O168" s="276" t="e">
        <f t="shared" si="63"/>
        <v>#REF!</v>
      </c>
      <c r="P168" s="276" t="e">
        <f t="shared" si="63"/>
        <v>#REF!</v>
      </c>
      <c r="Q168" s="276" t="e">
        <f t="shared" si="63"/>
        <v>#REF!</v>
      </c>
      <c r="R168" s="276" t="e">
        <f t="shared" si="63"/>
        <v>#REF!</v>
      </c>
      <c r="S168" s="276" t="e">
        <f t="shared" si="63"/>
        <v>#REF!</v>
      </c>
      <c r="T168" s="276" t="e">
        <f t="shared" si="63"/>
        <v>#REF!</v>
      </c>
      <c r="U168" s="276" t="e">
        <f t="shared" si="63"/>
        <v>#REF!</v>
      </c>
      <c r="V168" s="276" t="e">
        <f t="shared" si="63"/>
        <v>#REF!</v>
      </c>
      <c r="W168" s="276" t="e">
        <f t="shared" si="63"/>
        <v>#REF!</v>
      </c>
      <c r="X168" s="276" t="e">
        <f t="shared" si="63"/>
        <v>#REF!</v>
      </c>
      <c r="Y168" s="276" t="e">
        <f t="shared" si="63"/>
        <v>#REF!</v>
      </c>
      <c r="Z168" s="276" t="e">
        <f t="shared" si="63"/>
        <v>#REF!</v>
      </c>
      <c r="AA168" s="276" t="e">
        <f t="shared" si="63"/>
        <v>#REF!</v>
      </c>
      <c r="AB168" s="276" t="e">
        <f t="shared" si="63"/>
        <v>#REF!</v>
      </c>
      <c r="AC168" s="276" t="e">
        <f t="shared" si="63"/>
        <v>#REF!</v>
      </c>
      <c r="AD168" s="276" t="e">
        <f t="shared" si="63"/>
        <v>#REF!</v>
      </c>
      <c r="AE168" s="276" t="e">
        <f t="shared" si="63"/>
        <v>#REF!</v>
      </c>
      <c r="AF168" s="276" t="e">
        <f t="shared" si="63"/>
        <v>#REF!</v>
      </c>
      <c r="AG168" s="276" t="e">
        <f t="shared" si="63"/>
        <v>#REF!</v>
      </c>
      <c r="AH168" s="276" t="e">
        <f t="shared" si="63"/>
        <v>#REF!</v>
      </c>
      <c r="AI168" s="276" t="e">
        <f t="shared" si="63"/>
        <v>#REF!</v>
      </c>
      <c r="AJ168" s="276" t="e">
        <f t="shared" si="63"/>
        <v>#REF!</v>
      </c>
      <c r="AK168" s="276" t="e">
        <f t="shared" si="63"/>
        <v>#REF!</v>
      </c>
      <c r="AL168" s="277" t="e">
        <f t="shared" si="63"/>
        <v>#REF!</v>
      </c>
    </row>
    <row r="169" spans="1:38" customFormat="1" outlineLevel="2">
      <c r="A169" s="309"/>
      <c r="B169" s="302"/>
      <c r="C169" s="349" t="s">
        <v>247</v>
      </c>
      <c r="D169" s="64" t="s">
        <v>295</v>
      </c>
      <c r="E169" s="332" t="s">
        <v>28</v>
      </c>
      <c r="F169" s="333" t="s">
        <v>28</v>
      </c>
      <c r="G169" s="333" t="s">
        <v>28</v>
      </c>
      <c r="H169" s="334" t="s">
        <v>28</v>
      </c>
      <c r="I169" s="283" t="str">
        <f t="shared" ref="I169:AL169" si="64">IF(I30&gt;=I71+I72,"OK","BŁĄD")</f>
        <v>OK</v>
      </c>
      <c r="J169" s="276" t="str">
        <f t="shared" si="64"/>
        <v>OK</v>
      </c>
      <c r="K169" s="276" t="str">
        <f t="shared" si="64"/>
        <v>OK</v>
      </c>
      <c r="L169" s="276" t="str">
        <f t="shared" si="64"/>
        <v>OK</v>
      </c>
      <c r="M169" s="276" t="e">
        <f t="shared" si="64"/>
        <v>#REF!</v>
      </c>
      <c r="N169" s="276" t="e">
        <f t="shared" si="64"/>
        <v>#REF!</v>
      </c>
      <c r="O169" s="276" t="e">
        <f t="shared" si="64"/>
        <v>#REF!</v>
      </c>
      <c r="P169" s="276" t="e">
        <f t="shared" si="64"/>
        <v>#REF!</v>
      </c>
      <c r="Q169" s="276" t="e">
        <f t="shared" si="64"/>
        <v>#REF!</v>
      </c>
      <c r="R169" s="276" t="e">
        <f t="shared" si="64"/>
        <v>#REF!</v>
      </c>
      <c r="S169" s="276" t="e">
        <f t="shared" si="64"/>
        <v>#REF!</v>
      </c>
      <c r="T169" s="276" t="e">
        <f t="shared" si="64"/>
        <v>#REF!</v>
      </c>
      <c r="U169" s="276" t="e">
        <f t="shared" si="64"/>
        <v>#REF!</v>
      </c>
      <c r="V169" s="276" t="e">
        <f t="shared" si="64"/>
        <v>#REF!</v>
      </c>
      <c r="W169" s="276" t="e">
        <f t="shared" si="64"/>
        <v>#REF!</v>
      </c>
      <c r="X169" s="276" t="e">
        <f t="shared" si="64"/>
        <v>#REF!</v>
      </c>
      <c r="Y169" s="276" t="e">
        <f t="shared" si="64"/>
        <v>#REF!</v>
      </c>
      <c r="Z169" s="276" t="e">
        <f t="shared" si="64"/>
        <v>#REF!</v>
      </c>
      <c r="AA169" s="276" t="e">
        <f t="shared" si="64"/>
        <v>#REF!</v>
      </c>
      <c r="AB169" s="276" t="e">
        <f t="shared" si="64"/>
        <v>#REF!</v>
      </c>
      <c r="AC169" s="276" t="e">
        <f t="shared" si="64"/>
        <v>#REF!</v>
      </c>
      <c r="AD169" s="276" t="e">
        <f t="shared" si="64"/>
        <v>#REF!</v>
      </c>
      <c r="AE169" s="276" t="e">
        <f t="shared" si="64"/>
        <v>#REF!</v>
      </c>
      <c r="AF169" s="276" t="e">
        <f t="shared" si="64"/>
        <v>#REF!</v>
      </c>
      <c r="AG169" s="276" t="e">
        <f t="shared" si="64"/>
        <v>#REF!</v>
      </c>
      <c r="AH169" s="276" t="e">
        <f t="shared" si="64"/>
        <v>#REF!</v>
      </c>
      <c r="AI169" s="276" t="e">
        <f t="shared" si="64"/>
        <v>#REF!</v>
      </c>
      <c r="AJ169" s="276" t="e">
        <f t="shared" si="64"/>
        <v>#REF!</v>
      </c>
      <c r="AK169" s="276" t="e">
        <f t="shared" si="64"/>
        <v>#REF!</v>
      </c>
      <c r="AL169" s="277" t="e">
        <f t="shared" si="64"/>
        <v>#REF!</v>
      </c>
    </row>
    <row r="170" spans="1:38" customFormat="1" outlineLevel="2">
      <c r="A170" s="309"/>
      <c r="B170" s="302"/>
      <c r="C170" s="349" t="s">
        <v>248</v>
      </c>
      <c r="D170" s="64" t="s">
        <v>296</v>
      </c>
      <c r="E170" s="332" t="s">
        <v>28</v>
      </c>
      <c r="F170" s="333" t="s">
        <v>28</v>
      </c>
      <c r="G170" s="333" t="s">
        <v>28</v>
      </c>
      <c r="H170" s="334" t="s">
        <v>28</v>
      </c>
      <c r="I170" s="283" t="str">
        <f t="shared" ref="I170:AL170" si="65">IF(I30&gt;=I73,"OK","BŁĄD")</f>
        <v>OK</v>
      </c>
      <c r="J170" s="276" t="str">
        <f t="shared" si="65"/>
        <v>OK</v>
      </c>
      <c r="K170" s="276" t="str">
        <f t="shared" si="65"/>
        <v>OK</v>
      </c>
      <c r="L170" s="276" t="str">
        <f t="shared" si="65"/>
        <v>OK</v>
      </c>
      <c r="M170" s="276" t="e">
        <f t="shared" si="65"/>
        <v>#REF!</v>
      </c>
      <c r="N170" s="276" t="e">
        <f t="shared" si="65"/>
        <v>#REF!</v>
      </c>
      <c r="O170" s="276" t="e">
        <f t="shared" si="65"/>
        <v>#REF!</v>
      </c>
      <c r="P170" s="276" t="e">
        <f t="shared" si="65"/>
        <v>#REF!</v>
      </c>
      <c r="Q170" s="276" t="e">
        <f t="shared" si="65"/>
        <v>#REF!</v>
      </c>
      <c r="R170" s="276" t="e">
        <f t="shared" si="65"/>
        <v>#REF!</v>
      </c>
      <c r="S170" s="276" t="e">
        <f t="shared" si="65"/>
        <v>#REF!</v>
      </c>
      <c r="T170" s="276" t="e">
        <f t="shared" si="65"/>
        <v>#REF!</v>
      </c>
      <c r="U170" s="276" t="e">
        <f t="shared" si="65"/>
        <v>#REF!</v>
      </c>
      <c r="V170" s="276" t="e">
        <f t="shared" si="65"/>
        <v>#REF!</v>
      </c>
      <c r="W170" s="276" t="e">
        <f t="shared" si="65"/>
        <v>#REF!</v>
      </c>
      <c r="X170" s="276" t="e">
        <f t="shared" si="65"/>
        <v>#REF!</v>
      </c>
      <c r="Y170" s="276" t="e">
        <f t="shared" si="65"/>
        <v>#REF!</v>
      </c>
      <c r="Z170" s="276" t="e">
        <f t="shared" si="65"/>
        <v>#REF!</v>
      </c>
      <c r="AA170" s="276" t="e">
        <f t="shared" si="65"/>
        <v>#REF!</v>
      </c>
      <c r="AB170" s="276" t="e">
        <f t="shared" si="65"/>
        <v>#REF!</v>
      </c>
      <c r="AC170" s="276" t="e">
        <f t="shared" si="65"/>
        <v>#REF!</v>
      </c>
      <c r="AD170" s="276" t="e">
        <f t="shared" si="65"/>
        <v>#REF!</v>
      </c>
      <c r="AE170" s="276" t="e">
        <f t="shared" si="65"/>
        <v>#REF!</v>
      </c>
      <c r="AF170" s="276" t="e">
        <f t="shared" si="65"/>
        <v>#REF!</v>
      </c>
      <c r="AG170" s="276" t="e">
        <f t="shared" si="65"/>
        <v>#REF!</v>
      </c>
      <c r="AH170" s="276" t="e">
        <f t="shared" si="65"/>
        <v>#REF!</v>
      </c>
      <c r="AI170" s="276" t="e">
        <f t="shared" si="65"/>
        <v>#REF!</v>
      </c>
      <c r="AJ170" s="276" t="e">
        <f t="shared" si="65"/>
        <v>#REF!</v>
      </c>
      <c r="AK170" s="276" t="e">
        <f t="shared" si="65"/>
        <v>#REF!</v>
      </c>
      <c r="AL170" s="277" t="e">
        <f t="shared" si="65"/>
        <v>#REF!</v>
      </c>
    </row>
    <row r="171" spans="1:38" customFormat="1" outlineLevel="2">
      <c r="A171" s="309"/>
      <c r="B171" s="302"/>
      <c r="C171" s="349" t="s">
        <v>249</v>
      </c>
      <c r="D171" s="64" t="s">
        <v>297</v>
      </c>
      <c r="E171" s="332" t="s">
        <v>28</v>
      </c>
      <c r="F171" s="333" t="s">
        <v>28</v>
      </c>
      <c r="G171" s="333" t="s">
        <v>28</v>
      </c>
      <c r="H171" s="334" t="s">
        <v>28</v>
      </c>
      <c r="I171" s="283" t="str">
        <f t="shared" ref="I171:AL171" si="66">IF(I30&gt;=I84,"OK","BŁĄD")</f>
        <v>OK</v>
      </c>
      <c r="J171" s="276" t="str">
        <f t="shared" si="66"/>
        <v>OK</v>
      </c>
      <c r="K171" s="276" t="str">
        <f t="shared" si="66"/>
        <v>OK</v>
      </c>
      <c r="L171" s="276" t="str">
        <f t="shared" si="66"/>
        <v>OK</v>
      </c>
      <c r="M171" s="276" t="e">
        <f t="shared" si="66"/>
        <v>#REF!</v>
      </c>
      <c r="N171" s="276" t="e">
        <f t="shared" si="66"/>
        <v>#REF!</v>
      </c>
      <c r="O171" s="276" t="e">
        <f t="shared" si="66"/>
        <v>#REF!</v>
      </c>
      <c r="P171" s="276" t="e">
        <f t="shared" si="66"/>
        <v>#REF!</v>
      </c>
      <c r="Q171" s="276" t="e">
        <f t="shared" si="66"/>
        <v>#REF!</v>
      </c>
      <c r="R171" s="276" t="e">
        <f t="shared" si="66"/>
        <v>#REF!</v>
      </c>
      <c r="S171" s="276" t="e">
        <f t="shared" si="66"/>
        <v>#REF!</v>
      </c>
      <c r="T171" s="276" t="e">
        <f t="shared" si="66"/>
        <v>#REF!</v>
      </c>
      <c r="U171" s="276" t="e">
        <f t="shared" si="66"/>
        <v>#REF!</v>
      </c>
      <c r="V171" s="276" t="e">
        <f t="shared" si="66"/>
        <v>#REF!</v>
      </c>
      <c r="W171" s="276" t="e">
        <f t="shared" si="66"/>
        <v>#REF!</v>
      </c>
      <c r="X171" s="276" t="e">
        <f t="shared" si="66"/>
        <v>#REF!</v>
      </c>
      <c r="Y171" s="276" t="e">
        <f t="shared" si="66"/>
        <v>#REF!</v>
      </c>
      <c r="Z171" s="276" t="e">
        <f t="shared" si="66"/>
        <v>#REF!</v>
      </c>
      <c r="AA171" s="276" t="e">
        <f t="shared" si="66"/>
        <v>#REF!</v>
      </c>
      <c r="AB171" s="276" t="e">
        <f t="shared" si="66"/>
        <v>#REF!</v>
      </c>
      <c r="AC171" s="276" t="e">
        <f t="shared" si="66"/>
        <v>#REF!</v>
      </c>
      <c r="AD171" s="276" t="e">
        <f t="shared" si="66"/>
        <v>#REF!</v>
      </c>
      <c r="AE171" s="276" t="e">
        <f t="shared" si="66"/>
        <v>#REF!</v>
      </c>
      <c r="AF171" s="276" t="e">
        <f t="shared" si="66"/>
        <v>#REF!</v>
      </c>
      <c r="AG171" s="276" t="e">
        <f t="shared" si="66"/>
        <v>#REF!</v>
      </c>
      <c r="AH171" s="276" t="e">
        <f t="shared" si="66"/>
        <v>#REF!</v>
      </c>
      <c r="AI171" s="276" t="e">
        <f t="shared" si="66"/>
        <v>#REF!</v>
      </c>
      <c r="AJ171" s="276" t="e">
        <f t="shared" si="66"/>
        <v>#REF!</v>
      </c>
      <c r="AK171" s="276" t="e">
        <f t="shared" si="66"/>
        <v>#REF!</v>
      </c>
      <c r="AL171" s="277" t="e">
        <f t="shared" si="66"/>
        <v>#REF!</v>
      </c>
    </row>
    <row r="172" spans="1:38" customFormat="1" outlineLevel="2">
      <c r="A172" s="309"/>
      <c r="B172" s="302"/>
      <c r="C172" s="349" t="s">
        <v>250</v>
      </c>
      <c r="D172" s="64" t="s">
        <v>298</v>
      </c>
      <c r="E172" s="332" t="s">
        <v>28</v>
      </c>
      <c r="F172" s="333" t="s">
        <v>28</v>
      </c>
      <c r="G172" s="333" t="s">
        <v>28</v>
      </c>
      <c r="H172" s="334" t="s">
        <v>28</v>
      </c>
      <c r="I172" s="283" t="str">
        <f t="shared" ref="I172:AL172" si="67">IF(I33&gt;=I34,"OK","BŁĄD")</f>
        <v>OK</v>
      </c>
      <c r="J172" s="276" t="str">
        <f t="shared" si="67"/>
        <v>OK</v>
      </c>
      <c r="K172" s="276" t="str">
        <f t="shared" si="67"/>
        <v>OK</v>
      </c>
      <c r="L172" s="276" t="str">
        <f t="shared" si="67"/>
        <v>OK</v>
      </c>
      <c r="M172" s="276" t="e">
        <f t="shared" si="67"/>
        <v>#REF!</v>
      </c>
      <c r="N172" s="276" t="e">
        <f t="shared" si="67"/>
        <v>#REF!</v>
      </c>
      <c r="O172" s="276" t="e">
        <f t="shared" si="67"/>
        <v>#REF!</v>
      </c>
      <c r="P172" s="276" t="e">
        <f t="shared" si="67"/>
        <v>#REF!</v>
      </c>
      <c r="Q172" s="276" t="e">
        <f t="shared" si="67"/>
        <v>#REF!</v>
      </c>
      <c r="R172" s="276" t="e">
        <f t="shared" si="67"/>
        <v>#REF!</v>
      </c>
      <c r="S172" s="276" t="e">
        <f t="shared" si="67"/>
        <v>#REF!</v>
      </c>
      <c r="T172" s="276" t="e">
        <f t="shared" si="67"/>
        <v>#REF!</v>
      </c>
      <c r="U172" s="276" t="e">
        <f t="shared" si="67"/>
        <v>#REF!</v>
      </c>
      <c r="V172" s="276" t="e">
        <f t="shared" si="67"/>
        <v>#REF!</v>
      </c>
      <c r="W172" s="276" t="e">
        <f t="shared" si="67"/>
        <v>#REF!</v>
      </c>
      <c r="X172" s="276" t="e">
        <f t="shared" si="67"/>
        <v>#REF!</v>
      </c>
      <c r="Y172" s="276" t="e">
        <f t="shared" si="67"/>
        <v>#REF!</v>
      </c>
      <c r="Z172" s="276" t="e">
        <f t="shared" si="67"/>
        <v>#REF!</v>
      </c>
      <c r="AA172" s="276" t="e">
        <f t="shared" si="67"/>
        <v>#REF!</v>
      </c>
      <c r="AB172" s="276" t="e">
        <f t="shared" si="67"/>
        <v>#REF!</v>
      </c>
      <c r="AC172" s="276" t="e">
        <f t="shared" si="67"/>
        <v>#REF!</v>
      </c>
      <c r="AD172" s="276" t="e">
        <f t="shared" si="67"/>
        <v>#REF!</v>
      </c>
      <c r="AE172" s="276" t="e">
        <f t="shared" si="67"/>
        <v>#REF!</v>
      </c>
      <c r="AF172" s="276" t="e">
        <f t="shared" si="67"/>
        <v>#REF!</v>
      </c>
      <c r="AG172" s="276" t="e">
        <f t="shared" si="67"/>
        <v>#REF!</v>
      </c>
      <c r="AH172" s="276" t="e">
        <f t="shared" si="67"/>
        <v>#REF!</v>
      </c>
      <c r="AI172" s="276" t="e">
        <f t="shared" si="67"/>
        <v>#REF!</v>
      </c>
      <c r="AJ172" s="276" t="e">
        <f t="shared" si="67"/>
        <v>#REF!</v>
      </c>
      <c r="AK172" s="276" t="e">
        <f t="shared" si="67"/>
        <v>#REF!</v>
      </c>
      <c r="AL172" s="277" t="e">
        <f t="shared" si="67"/>
        <v>#REF!</v>
      </c>
    </row>
    <row r="173" spans="1:38" customFormat="1" outlineLevel="2">
      <c r="A173" s="309"/>
      <c r="B173" s="302"/>
      <c r="C173" s="349" t="s">
        <v>251</v>
      </c>
      <c r="D173" s="64" t="s">
        <v>299</v>
      </c>
      <c r="E173" s="332" t="s">
        <v>28</v>
      </c>
      <c r="F173" s="333" t="s">
        <v>28</v>
      </c>
      <c r="G173" s="333" t="s">
        <v>28</v>
      </c>
      <c r="H173" s="334" t="s">
        <v>28</v>
      </c>
      <c r="I173" s="283" t="str">
        <f t="shared" ref="I173:AL173" si="68">IF(I35&gt;=I36,"OK","BŁĄD")</f>
        <v>OK</v>
      </c>
      <c r="J173" s="276" t="str">
        <f t="shared" si="68"/>
        <v>OK</v>
      </c>
      <c r="K173" s="276" t="str">
        <f t="shared" si="68"/>
        <v>OK</v>
      </c>
      <c r="L173" s="276" t="str">
        <f t="shared" si="68"/>
        <v>OK</v>
      </c>
      <c r="M173" s="276" t="e">
        <f t="shared" si="68"/>
        <v>#REF!</v>
      </c>
      <c r="N173" s="276" t="e">
        <f t="shared" si="68"/>
        <v>#REF!</v>
      </c>
      <c r="O173" s="276" t="e">
        <f t="shared" si="68"/>
        <v>#REF!</v>
      </c>
      <c r="P173" s="276" t="e">
        <f t="shared" si="68"/>
        <v>#REF!</v>
      </c>
      <c r="Q173" s="276" t="e">
        <f t="shared" si="68"/>
        <v>#REF!</v>
      </c>
      <c r="R173" s="276" t="e">
        <f t="shared" si="68"/>
        <v>#REF!</v>
      </c>
      <c r="S173" s="276" t="e">
        <f t="shared" si="68"/>
        <v>#REF!</v>
      </c>
      <c r="T173" s="276" t="e">
        <f t="shared" si="68"/>
        <v>#REF!</v>
      </c>
      <c r="U173" s="276" t="e">
        <f t="shared" si="68"/>
        <v>#REF!</v>
      </c>
      <c r="V173" s="276" t="e">
        <f t="shared" si="68"/>
        <v>#REF!</v>
      </c>
      <c r="W173" s="276" t="e">
        <f t="shared" si="68"/>
        <v>#REF!</v>
      </c>
      <c r="X173" s="276" t="e">
        <f t="shared" si="68"/>
        <v>#REF!</v>
      </c>
      <c r="Y173" s="276" t="e">
        <f t="shared" si="68"/>
        <v>#REF!</v>
      </c>
      <c r="Z173" s="276" t="e">
        <f t="shared" si="68"/>
        <v>#REF!</v>
      </c>
      <c r="AA173" s="276" t="e">
        <f t="shared" si="68"/>
        <v>#REF!</v>
      </c>
      <c r="AB173" s="276" t="e">
        <f t="shared" si="68"/>
        <v>#REF!</v>
      </c>
      <c r="AC173" s="276" t="e">
        <f t="shared" si="68"/>
        <v>#REF!</v>
      </c>
      <c r="AD173" s="276" t="e">
        <f t="shared" si="68"/>
        <v>#REF!</v>
      </c>
      <c r="AE173" s="276" t="e">
        <f t="shared" si="68"/>
        <v>#REF!</v>
      </c>
      <c r="AF173" s="276" t="e">
        <f t="shared" si="68"/>
        <v>#REF!</v>
      </c>
      <c r="AG173" s="276" t="e">
        <f t="shared" si="68"/>
        <v>#REF!</v>
      </c>
      <c r="AH173" s="276" t="e">
        <f t="shared" si="68"/>
        <v>#REF!</v>
      </c>
      <c r="AI173" s="276" t="e">
        <f t="shared" si="68"/>
        <v>#REF!</v>
      </c>
      <c r="AJ173" s="276" t="e">
        <f t="shared" si="68"/>
        <v>#REF!</v>
      </c>
      <c r="AK173" s="276" t="e">
        <f t="shared" si="68"/>
        <v>#REF!</v>
      </c>
      <c r="AL173" s="277" t="e">
        <f t="shared" si="68"/>
        <v>#REF!</v>
      </c>
    </row>
    <row r="174" spans="1:38" customFormat="1" outlineLevel="2">
      <c r="A174" s="309"/>
      <c r="B174" s="302"/>
      <c r="C174" s="349" t="s">
        <v>252</v>
      </c>
      <c r="D174" s="64" t="s">
        <v>300</v>
      </c>
      <c r="E174" s="332" t="s">
        <v>28</v>
      </c>
      <c r="F174" s="333" t="s">
        <v>28</v>
      </c>
      <c r="G174" s="333" t="s">
        <v>28</v>
      </c>
      <c r="H174" s="334" t="s">
        <v>28</v>
      </c>
      <c r="I174" s="283" t="str">
        <f t="shared" ref="I174:AL174" si="69">IF(I37&gt;=I38,"OK","BŁĄD")</f>
        <v>OK</v>
      </c>
      <c r="J174" s="276" t="str">
        <f t="shared" si="69"/>
        <v>OK</v>
      </c>
      <c r="K174" s="276" t="str">
        <f t="shared" si="69"/>
        <v>OK</v>
      </c>
      <c r="L174" s="276" t="str">
        <f t="shared" si="69"/>
        <v>OK</v>
      </c>
      <c r="M174" s="276" t="e">
        <f t="shared" si="69"/>
        <v>#REF!</v>
      </c>
      <c r="N174" s="276" t="e">
        <f t="shared" si="69"/>
        <v>#REF!</v>
      </c>
      <c r="O174" s="276" t="e">
        <f t="shared" si="69"/>
        <v>#REF!</v>
      </c>
      <c r="P174" s="276" t="e">
        <f t="shared" si="69"/>
        <v>#REF!</v>
      </c>
      <c r="Q174" s="276" t="e">
        <f t="shared" si="69"/>
        <v>#REF!</v>
      </c>
      <c r="R174" s="276" t="e">
        <f t="shared" si="69"/>
        <v>#REF!</v>
      </c>
      <c r="S174" s="276" t="e">
        <f t="shared" si="69"/>
        <v>#REF!</v>
      </c>
      <c r="T174" s="276" t="e">
        <f t="shared" si="69"/>
        <v>#REF!</v>
      </c>
      <c r="U174" s="276" t="e">
        <f t="shared" si="69"/>
        <v>#REF!</v>
      </c>
      <c r="V174" s="276" t="e">
        <f t="shared" si="69"/>
        <v>#REF!</v>
      </c>
      <c r="W174" s="276" t="e">
        <f t="shared" si="69"/>
        <v>#REF!</v>
      </c>
      <c r="X174" s="276" t="e">
        <f t="shared" si="69"/>
        <v>#REF!</v>
      </c>
      <c r="Y174" s="276" t="e">
        <f t="shared" si="69"/>
        <v>#REF!</v>
      </c>
      <c r="Z174" s="276" t="e">
        <f t="shared" si="69"/>
        <v>#REF!</v>
      </c>
      <c r="AA174" s="276" t="e">
        <f t="shared" si="69"/>
        <v>#REF!</v>
      </c>
      <c r="AB174" s="276" t="e">
        <f t="shared" si="69"/>
        <v>#REF!</v>
      </c>
      <c r="AC174" s="276" t="e">
        <f t="shared" si="69"/>
        <v>#REF!</v>
      </c>
      <c r="AD174" s="276" t="e">
        <f t="shared" si="69"/>
        <v>#REF!</v>
      </c>
      <c r="AE174" s="276" t="e">
        <f t="shared" si="69"/>
        <v>#REF!</v>
      </c>
      <c r="AF174" s="276" t="e">
        <f t="shared" si="69"/>
        <v>#REF!</v>
      </c>
      <c r="AG174" s="276" t="e">
        <f t="shared" si="69"/>
        <v>#REF!</v>
      </c>
      <c r="AH174" s="276" t="e">
        <f t="shared" si="69"/>
        <v>#REF!</v>
      </c>
      <c r="AI174" s="276" t="e">
        <f t="shared" si="69"/>
        <v>#REF!</v>
      </c>
      <c r="AJ174" s="276" t="e">
        <f t="shared" si="69"/>
        <v>#REF!</v>
      </c>
      <c r="AK174" s="276" t="e">
        <f t="shared" si="69"/>
        <v>#REF!</v>
      </c>
      <c r="AL174" s="277" t="e">
        <f t="shared" si="69"/>
        <v>#REF!</v>
      </c>
    </row>
    <row r="175" spans="1:38" customFormat="1" outlineLevel="2">
      <c r="A175" s="309"/>
      <c r="B175" s="302"/>
      <c r="C175" s="349" t="s">
        <v>253</v>
      </c>
      <c r="D175" s="64" t="s">
        <v>301</v>
      </c>
      <c r="E175" s="332" t="s">
        <v>28</v>
      </c>
      <c r="F175" s="333" t="s">
        <v>28</v>
      </c>
      <c r="G175" s="333" t="s">
        <v>28</v>
      </c>
      <c r="H175" s="334" t="s">
        <v>28</v>
      </c>
      <c r="I175" s="283" t="str">
        <f t="shared" ref="I175:AL175" si="70">IF(I39&gt;=I40,"OK","BŁĄD")</f>
        <v>OK</v>
      </c>
      <c r="J175" s="276" t="str">
        <f t="shared" si="70"/>
        <v>OK</v>
      </c>
      <c r="K175" s="276" t="str">
        <f t="shared" si="70"/>
        <v>OK</v>
      </c>
      <c r="L175" s="276" t="str">
        <f t="shared" si="70"/>
        <v>OK</v>
      </c>
      <c r="M175" s="276" t="e">
        <f t="shared" si="70"/>
        <v>#REF!</v>
      </c>
      <c r="N175" s="276" t="e">
        <f t="shared" si="70"/>
        <v>#REF!</v>
      </c>
      <c r="O175" s="276" t="e">
        <f t="shared" si="70"/>
        <v>#REF!</v>
      </c>
      <c r="P175" s="276" t="e">
        <f t="shared" si="70"/>
        <v>#REF!</v>
      </c>
      <c r="Q175" s="276" t="e">
        <f t="shared" si="70"/>
        <v>#REF!</v>
      </c>
      <c r="R175" s="276" t="e">
        <f t="shared" si="70"/>
        <v>#REF!</v>
      </c>
      <c r="S175" s="276" t="e">
        <f t="shared" si="70"/>
        <v>#REF!</v>
      </c>
      <c r="T175" s="276" t="e">
        <f t="shared" si="70"/>
        <v>#REF!</v>
      </c>
      <c r="U175" s="276" t="e">
        <f t="shared" si="70"/>
        <v>#REF!</v>
      </c>
      <c r="V175" s="276" t="e">
        <f t="shared" si="70"/>
        <v>#REF!</v>
      </c>
      <c r="W175" s="276" t="e">
        <f t="shared" si="70"/>
        <v>#REF!</v>
      </c>
      <c r="X175" s="276" t="e">
        <f t="shared" si="70"/>
        <v>#REF!</v>
      </c>
      <c r="Y175" s="276" t="e">
        <f t="shared" si="70"/>
        <v>#REF!</v>
      </c>
      <c r="Z175" s="276" t="e">
        <f t="shared" si="70"/>
        <v>#REF!</v>
      </c>
      <c r="AA175" s="276" t="e">
        <f t="shared" si="70"/>
        <v>#REF!</v>
      </c>
      <c r="AB175" s="276" t="e">
        <f t="shared" si="70"/>
        <v>#REF!</v>
      </c>
      <c r="AC175" s="276" t="e">
        <f t="shared" si="70"/>
        <v>#REF!</v>
      </c>
      <c r="AD175" s="276" t="e">
        <f t="shared" si="70"/>
        <v>#REF!</v>
      </c>
      <c r="AE175" s="276" t="e">
        <f t="shared" si="70"/>
        <v>#REF!</v>
      </c>
      <c r="AF175" s="276" t="e">
        <f t="shared" si="70"/>
        <v>#REF!</v>
      </c>
      <c r="AG175" s="276" t="e">
        <f t="shared" si="70"/>
        <v>#REF!</v>
      </c>
      <c r="AH175" s="276" t="e">
        <f t="shared" si="70"/>
        <v>#REF!</v>
      </c>
      <c r="AI175" s="276" t="e">
        <f t="shared" si="70"/>
        <v>#REF!</v>
      </c>
      <c r="AJ175" s="276" t="e">
        <f t="shared" si="70"/>
        <v>#REF!</v>
      </c>
      <c r="AK175" s="276" t="e">
        <f t="shared" si="70"/>
        <v>#REF!</v>
      </c>
      <c r="AL175" s="277" t="e">
        <f t="shared" si="70"/>
        <v>#REF!</v>
      </c>
    </row>
    <row r="176" spans="1:38" customFormat="1" outlineLevel="2">
      <c r="A176" s="309"/>
      <c r="B176" s="302"/>
      <c r="C176" s="349" t="s">
        <v>256</v>
      </c>
      <c r="D176" s="64" t="s">
        <v>304</v>
      </c>
      <c r="E176" s="332" t="s">
        <v>28</v>
      </c>
      <c r="F176" s="333" t="s">
        <v>28</v>
      </c>
      <c r="G176" s="333" t="s">
        <v>28</v>
      </c>
      <c r="H176" s="334" t="s">
        <v>28</v>
      </c>
      <c r="I176" s="283" t="str">
        <f t="shared" ref="I176:AL176" si="71">IF(I42&gt;=I43,"OK","BŁĄD")</f>
        <v>OK</v>
      </c>
      <c r="J176" s="276" t="str">
        <f t="shared" si="71"/>
        <v>OK</v>
      </c>
      <c r="K176" s="276" t="str">
        <f t="shared" si="71"/>
        <v>OK</v>
      </c>
      <c r="L176" s="276" t="str">
        <f t="shared" si="71"/>
        <v>OK</v>
      </c>
      <c r="M176" s="276" t="e">
        <f t="shared" si="71"/>
        <v>#REF!</v>
      </c>
      <c r="N176" s="276" t="e">
        <f t="shared" si="71"/>
        <v>#REF!</v>
      </c>
      <c r="O176" s="276" t="e">
        <f t="shared" si="71"/>
        <v>#REF!</v>
      </c>
      <c r="P176" s="276" t="e">
        <f t="shared" si="71"/>
        <v>#REF!</v>
      </c>
      <c r="Q176" s="276" t="e">
        <f t="shared" si="71"/>
        <v>#REF!</v>
      </c>
      <c r="R176" s="276" t="e">
        <f t="shared" si="71"/>
        <v>#REF!</v>
      </c>
      <c r="S176" s="276" t="e">
        <f t="shared" si="71"/>
        <v>#REF!</v>
      </c>
      <c r="T176" s="276" t="e">
        <f t="shared" si="71"/>
        <v>#REF!</v>
      </c>
      <c r="U176" s="276" t="e">
        <f t="shared" si="71"/>
        <v>#REF!</v>
      </c>
      <c r="V176" s="276" t="e">
        <f t="shared" si="71"/>
        <v>#REF!</v>
      </c>
      <c r="W176" s="276" t="e">
        <f t="shared" si="71"/>
        <v>#REF!</v>
      </c>
      <c r="X176" s="276" t="e">
        <f t="shared" si="71"/>
        <v>#REF!</v>
      </c>
      <c r="Y176" s="276" t="e">
        <f t="shared" si="71"/>
        <v>#REF!</v>
      </c>
      <c r="Z176" s="276" t="e">
        <f t="shared" si="71"/>
        <v>#REF!</v>
      </c>
      <c r="AA176" s="276" t="e">
        <f t="shared" si="71"/>
        <v>#REF!</v>
      </c>
      <c r="AB176" s="276" t="e">
        <f t="shared" si="71"/>
        <v>#REF!</v>
      </c>
      <c r="AC176" s="276" t="e">
        <f t="shared" si="71"/>
        <v>#REF!</v>
      </c>
      <c r="AD176" s="276" t="e">
        <f t="shared" si="71"/>
        <v>#REF!</v>
      </c>
      <c r="AE176" s="276" t="e">
        <f t="shared" si="71"/>
        <v>#REF!</v>
      </c>
      <c r="AF176" s="276" t="e">
        <f t="shared" si="71"/>
        <v>#REF!</v>
      </c>
      <c r="AG176" s="276" t="e">
        <f t="shared" si="71"/>
        <v>#REF!</v>
      </c>
      <c r="AH176" s="276" t="e">
        <f t="shared" si="71"/>
        <v>#REF!</v>
      </c>
      <c r="AI176" s="276" t="e">
        <f t="shared" si="71"/>
        <v>#REF!</v>
      </c>
      <c r="AJ176" s="276" t="e">
        <f t="shared" si="71"/>
        <v>#REF!</v>
      </c>
      <c r="AK176" s="276" t="e">
        <f t="shared" si="71"/>
        <v>#REF!</v>
      </c>
      <c r="AL176" s="277" t="e">
        <f t="shared" si="71"/>
        <v>#REF!</v>
      </c>
    </row>
    <row r="177" spans="1:39" customFormat="1" outlineLevel="2">
      <c r="A177" s="309"/>
      <c r="B177" s="302"/>
      <c r="C177" s="349" t="s">
        <v>254</v>
      </c>
      <c r="D177" s="64" t="s">
        <v>302</v>
      </c>
      <c r="E177" s="332" t="s">
        <v>28</v>
      </c>
      <c r="F177" s="333" t="s">
        <v>28</v>
      </c>
      <c r="G177" s="333" t="s">
        <v>28</v>
      </c>
      <c r="H177" s="334" t="s">
        <v>28</v>
      </c>
      <c r="I177" s="283" t="str">
        <f t="shared" ref="I177:AL177" si="72">IF(I42&gt;=I64,"OK","BŁĄD")</f>
        <v>OK</v>
      </c>
      <c r="J177" s="276" t="str">
        <f t="shared" si="72"/>
        <v>OK</v>
      </c>
      <c r="K177" s="276" t="str">
        <f t="shared" si="72"/>
        <v>OK</v>
      </c>
      <c r="L177" s="276" t="str">
        <f t="shared" si="72"/>
        <v>OK</v>
      </c>
      <c r="M177" s="276" t="e">
        <f t="shared" si="72"/>
        <v>#REF!</v>
      </c>
      <c r="N177" s="276" t="e">
        <f t="shared" si="72"/>
        <v>#REF!</v>
      </c>
      <c r="O177" s="276" t="e">
        <f t="shared" si="72"/>
        <v>#REF!</v>
      </c>
      <c r="P177" s="276" t="e">
        <f t="shared" si="72"/>
        <v>#REF!</v>
      </c>
      <c r="Q177" s="276" t="e">
        <f t="shared" si="72"/>
        <v>#REF!</v>
      </c>
      <c r="R177" s="276" t="e">
        <f t="shared" si="72"/>
        <v>#REF!</v>
      </c>
      <c r="S177" s="276" t="e">
        <f t="shared" si="72"/>
        <v>#REF!</v>
      </c>
      <c r="T177" s="276" t="e">
        <f t="shared" si="72"/>
        <v>#REF!</v>
      </c>
      <c r="U177" s="276" t="e">
        <f t="shared" si="72"/>
        <v>#REF!</v>
      </c>
      <c r="V177" s="276" t="e">
        <f t="shared" si="72"/>
        <v>#REF!</v>
      </c>
      <c r="W177" s="276" t="e">
        <f t="shared" si="72"/>
        <v>#REF!</v>
      </c>
      <c r="X177" s="276" t="e">
        <f t="shared" si="72"/>
        <v>#REF!</v>
      </c>
      <c r="Y177" s="276" t="e">
        <f t="shared" si="72"/>
        <v>#REF!</v>
      </c>
      <c r="Z177" s="276" t="e">
        <f t="shared" si="72"/>
        <v>#REF!</v>
      </c>
      <c r="AA177" s="276" t="e">
        <f t="shared" si="72"/>
        <v>#REF!</v>
      </c>
      <c r="AB177" s="276" t="e">
        <f t="shared" si="72"/>
        <v>#REF!</v>
      </c>
      <c r="AC177" s="276" t="e">
        <f t="shared" si="72"/>
        <v>#REF!</v>
      </c>
      <c r="AD177" s="276" t="e">
        <f t="shared" si="72"/>
        <v>#REF!</v>
      </c>
      <c r="AE177" s="276" t="e">
        <f t="shared" si="72"/>
        <v>#REF!</v>
      </c>
      <c r="AF177" s="276" t="e">
        <f t="shared" si="72"/>
        <v>#REF!</v>
      </c>
      <c r="AG177" s="276" t="e">
        <f t="shared" si="72"/>
        <v>#REF!</v>
      </c>
      <c r="AH177" s="276" t="e">
        <f t="shared" si="72"/>
        <v>#REF!</v>
      </c>
      <c r="AI177" s="276" t="e">
        <f t="shared" si="72"/>
        <v>#REF!</v>
      </c>
      <c r="AJ177" s="276" t="e">
        <f t="shared" si="72"/>
        <v>#REF!</v>
      </c>
      <c r="AK177" s="276" t="e">
        <f t="shared" si="72"/>
        <v>#REF!</v>
      </c>
      <c r="AL177" s="277" t="e">
        <f t="shared" si="72"/>
        <v>#REF!</v>
      </c>
    </row>
    <row r="178" spans="1:39" customFormat="1" outlineLevel="2">
      <c r="A178" s="309"/>
      <c r="B178" s="302"/>
      <c r="C178" s="349" t="s">
        <v>255</v>
      </c>
      <c r="D178" s="64" t="s">
        <v>303</v>
      </c>
      <c r="E178" s="332" t="s">
        <v>28</v>
      </c>
      <c r="F178" s="333" t="s">
        <v>28</v>
      </c>
      <c r="G178" s="333" t="s">
        <v>28</v>
      </c>
      <c r="H178" s="334" t="s">
        <v>28</v>
      </c>
      <c r="I178" s="283" t="str">
        <f t="shared" ref="I178:AL178" si="73">IF(I42&gt;=I104,"OK","BŁĄD")</f>
        <v>OK</v>
      </c>
      <c r="J178" s="276" t="str">
        <f t="shared" si="73"/>
        <v>OK</v>
      </c>
      <c r="K178" s="276" t="str">
        <f t="shared" si="73"/>
        <v>OK</v>
      </c>
      <c r="L178" s="276" t="str">
        <f t="shared" si="73"/>
        <v>OK</v>
      </c>
      <c r="M178" s="276" t="e">
        <f t="shared" si="73"/>
        <v>#REF!</v>
      </c>
      <c r="N178" s="276" t="e">
        <f t="shared" si="73"/>
        <v>#REF!</v>
      </c>
      <c r="O178" s="276" t="e">
        <f t="shared" si="73"/>
        <v>#REF!</v>
      </c>
      <c r="P178" s="276" t="e">
        <f t="shared" si="73"/>
        <v>#REF!</v>
      </c>
      <c r="Q178" s="276" t="e">
        <f t="shared" si="73"/>
        <v>#REF!</v>
      </c>
      <c r="R178" s="276" t="e">
        <f t="shared" si="73"/>
        <v>#REF!</v>
      </c>
      <c r="S178" s="276" t="e">
        <f t="shared" si="73"/>
        <v>#REF!</v>
      </c>
      <c r="T178" s="276" t="e">
        <f t="shared" si="73"/>
        <v>#REF!</v>
      </c>
      <c r="U178" s="276" t="e">
        <f t="shared" si="73"/>
        <v>#REF!</v>
      </c>
      <c r="V178" s="276" t="e">
        <f t="shared" si="73"/>
        <v>#REF!</v>
      </c>
      <c r="W178" s="276" t="e">
        <f t="shared" si="73"/>
        <v>#REF!</v>
      </c>
      <c r="X178" s="276" t="e">
        <f t="shared" si="73"/>
        <v>#REF!</v>
      </c>
      <c r="Y178" s="276" t="e">
        <f t="shared" si="73"/>
        <v>#REF!</v>
      </c>
      <c r="Z178" s="276" t="e">
        <f t="shared" si="73"/>
        <v>#REF!</v>
      </c>
      <c r="AA178" s="276" t="e">
        <f t="shared" si="73"/>
        <v>#REF!</v>
      </c>
      <c r="AB178" s="276" t="e">
        <f t="shared" si="73"/>
        <v>#REF!</v>
      </c>
      <c r="AC178" s="276" t="e">
        <f t="shared" si="73"/>
        <v>#REF!</v>
      </c>
      <c r="AD178" s="276" t="e">
        <f t="shared" si="73"/>
        <v>#REF!</v>
      </c>
      <c r="AE178" s="276" t="e">
        <f t="shared" si="73"/>
        <v>#REF!</v>
      </c>
      <c r="AF178" s="276" t="e">
        <f t="shared" si="73"/>
        <v>#REF!</v>
      </c>
      <c r="AG178" s="276" t="e">
        <f t="shared" si="73"/>
        <v>#REF!</v>
      </c>
      <c r="AH178" s="276" t="e">
        <f t="shared" si="73"/>
        <v>#REF!</v>
      </c>
      <c r="AI178" s="276" t="e">
        <f t="shared" si="73"/>
        <v>#REF!</v>
      </c>
      <c r="AJ178" s="276" t="e">
        <f t="shared" si="73"/>
        <v>#REF!</v>
      </c>
      <c r="AK178" s="276" t="e">
        <f t="shared" si="73"/>
        <v>#REF!</v>
      </c>
      <c r="AL178" s="277" t="e">
        <f t="shared" si="73"/>
        <v>#REF!</v>
      </c>
    </row>
    <row r="179" spans="1:39" customFormat="1" outlineLevel="2">
      <c r="A179" s="309"/>
      <c r="B179" s="302"/>
      <c r="C179" s="349" t="s">
        <v>258</v>
      </c>
      <c r="D179" s="64" t="s">
        <v>306</v>
      </c>
      <c r="E179" s="332" t="s">
        <v>28</v>
      </c>
      <c r="F179" s="333" t="s">
        <v>28</v>
      </c>
      <c r="G179" s="333" t="s">
        <v>28</v>
      </c>
      <c r="H179" s="334" t="s">
        <v>28</v>
      </c>
      <c r="I179" s="283" t="str">
        <f t="shared" ref="I179:AL179" si="74">IF(I48&gt;=I49,"OK","BŁĄD")</f>
        <v>OK</v>
      </c>
      <c r="J179" s="276" t="str">
        <f t="shared" si="74"/>
        <v>OK</v>
      </c>
      <c r="K179" s="276" t="str">
        <f t="shared" si="74"/>
        <v>OK</v>
      </c>
      <c r="L179" s="276" t="str">
        <f t="shared" si="74"/>
        <v>OK</v>
      </c>
      <c r="M179" s="276" t="e">
        <f t="shared" si="74"/>
        <v>#REF!</v>
      </c>
      <c r="N179" s="276" t="e">
        <f t="shared" si="74"/>
        <v>#REF!</v>
      </c>
      <c r="O179" s="276" t="e">
        <f t="shared" si="74"/>
        <v>#REF!</v>
      </c>
      <c r="P179" s="276" t="e">
        <f t="shared" si="74"/>
        <v>#REF!</v>
      </c>
      <c r="Q179" s="276" t="e">
        <f t="shared" si="74"/>
        <v>#REF!</v>
      </c>
      <c r="R179" s="276" t="e">
        <f t="shared" si="74"/>
        <v>#REF!</v>
      </c>
      <c r="S179" s="276" t="e">
        <f t="shared" si="74"/>
        <v>#REF!</v>
      </c>
      <c r="T179" s="276" t="e">
        <f t="shared" si="74"/>
        <v>#REF!</v>
      </c>
      <c r="U179" s="276" t="e">
        <f t="shared" si="74"/>
        <v>#REF!</v>
      </c>
      <c r="V179" s="276" t="e">
        <f t="shared" si="74"/>
        <v>#REF!</v>
      </c>
      <c r="W179" s="276" t="e">
        <f t="shared" si="74"/>
        <v>#REF!</v>
      </c>
      <c r="X179" s="276" t="e">
        <f t="shared" si="74"/>
        <v>#REF!</v>
      </c>
      <c r="Y179" s="276" t="e">
        <f t="shared" si="74"/>
        <v>#REF!</v>
      </c>
      <c r="Z179" s="276" t="e">
        <f t="shared" si="74"/>
        <v>#REF!</v>
      </c>
      <c r="AA179" s="276" t="e">
        <f t="shared" si="74"/>
        <v>#REF!</v>
      </c>
      <c r="AB179" s="276" t="e">
        <f t="shared" si="74"/>
        <v>#REF!</v>
      </c>
      <c r="AC179" s="276" t="e">
        <f t="shared" si="74"/>
        <v>#REF!</v>
      </c>
      <c r="AD179" s="276" t="e">
        <f t="shared" si="74"/>
        <v>#REF!</v>
      </c>
      <c r="AE179" s="276" t="e">
        <f t="shared" si="74"/>
        <v>#REF!</v>
      </c>
      <c r="AF179" s="276" t="e">
        <f t="shared" si="74"/>
        <v>#REF!</v>
      </c>
      <c r="AG179" s="276" t="e">
        <f t="shared" si="74"/>
        <v>#REF!</v>
      </c>
      <c r="AH179" s="276" t="e">
        <f t="shared" si="74"/>
        <v>#REF!</v>
      </c>
      <c r="AI179" s="276" t="e">
        <f t="shared" si="74"/>
        <v>#REF!</v>
      </c>
      <c r="AJ179" s="276" t="e">
        <f t="shared" si="74"/>
        <v>#REF!</v>
      </c>
      <c r="AK179" s="276" t="e">
        <f t="shared" si="74"/>
        <v>#REF!</v>
      </c>
      <c r="AL179" s="277" t="e">
        <f t="shared" si="74"/>
        <v>#REF!</v>
      </c>
    </row>
    <row r="180" spans="1:39" customFormat="1" outlineLevel="2">
      <c r="A180" s="309"/>
      <c r="B180" s="302"/>
      <c r="C180" s="349" t="s">
        <v>257</v>
      </c>
      <c r="D180" s="64" t="s">
        <v>305</v>
      </c>
      <c r="E180" s="332" t="s">
        <v>28</v>
      </c>
      <c r="F180" s="333" t="s">
        <v>28</v>
      </c>
      <c r="G180" s="333" t="s">
        <v>28</v>
      </c>
      <c r="H180" s="334" t="s">
        <v>28</v>
      </c>
      <c r="I180" s="283" t="str">
        <f t="shared" ref="I180:AL180" si="75">IF(I48&gt;=I105,"OK","BŁĄD")</f>
        <v>OK</v>
      </c>
      <c r="J180" s="276" t="str">
        <f t="shared" si="75"/>
        <v>OK</v>
      </c>
      <c r="K180" s="276" t="str">
        <f t="shared" si="75"/>
        <v>OK</v>
      </c>
      <c r="L180" s="276" t="str">
        <f t="shared" si="75"/>
        <v>OK</v>
      </c>
      <c r="M180" s="276" t="e">
        <f t="shared" si="75"/>
        <v>#REF!</v>
      </c>
      <c r="N180" s="276" t="e">
        <f t="shared" si="75"/>
        <v>#REF!</v>
      </c>
      <c r="O180" s="276" t="e">
        <f t="shared" si="75"/>
        <v>#REF!</v>
      </c>
      <c r="P180" s="276" t="e">
        <f t="shared" si="75"/>
        <v>#REF!</v>
      </c>
      <c r="Q180" s="276" t="e">
        <f t="shared" si="75"/>
        <v>#REF!</v>
      </c>
      <c r="R180" s="276" t="e">
        <f t="shared" si="75"/>
        <v>#REF!</v>
      </c>
      <c r="S180" s="276" t="e">
        <f t="shared" si="75"/>
        <v>#REF!</v>
      </c>
      <c r="T180" s="276" t="e">
        <f t="shared" si="75"/>
        <v>#REF!</v>
      </c>
      <c r="U180" s="276" t="e">
        <f t="shared" si="75"/>
        <v>#REF!</v>
      </c>
      <c r="V180" s="276" t="e">
        <f t="shared" si="75"/>
        <v>#REF!</v>
      </c>
      <c r="W180" s="276" t="e">
        <f t="shared" si="75"/>
        <v>#REF!</v>
      </c>
      <c r="X180" s="276" t="e">
        <f t="shared" si="75"/>
        <v>#REF!</v>
      </c>
      <c r="Y180" s="276" t="e">
        <f t="shared" si="75"/>
        <v>#REF!</v>
      </c>
      <c r="Z180" s="276" t="e">
        <f t="shared" si="75"/>
        <v>#REF!</v>
      </c>
      <c r="AA180" s="276" t="e">
        <f t="shared" si="75"/>
        <v>#REF!</v>
      </c>
      <c r="AB180" s="276" t="e">
        <f t="shared" si="75"/>
        <v>#REF!</v>
      </c>
      <c r="AC180" s="276" t="e">
        <f t="shared" si="75"/>
        <v>#REF!</v>
      </c>
      <c r="AD180" s="276" t="e">
        <f t="shared" si="75"/>
        <v>#REF!</v>
      </c>
      <c r="AE180" s="276" t="e">
        <f t="shared" si="75"/>
        <v>#REF!</v>
      </c>
      <c r="AF180" s="276" t="e">
        <f t="shared" si="75"/>
        <v>#REF!</v>
      </c>
      <c r="AG180" s="276" t="e">
        <f t="shared" si="75"/>
        <v>#REF!</v>
      </c>
      <c r="AH180" s="276" t="e">
        <f t="shared" si="75"/>
        <v>#REF!</v>
      </c>
      <c r="AI180" s="276" t="e">
        <f t="shared" si="75"/>
        <v>#REF!</v>
      </c>
      <c r="AJ180" s="276" t="e">
        <f t="shared" si="75"/>
        <v>#REF!</v>
      </c>
      <c r="AK180" s="276" t="e">
        <f t="shared" si="75"/>
        <v>#REF!</v>
      </c>
      <c r="AL180" s="277" t="e">
        <f t="shared" si="75"/>
        <v>#REF!</v>
      </c>
    </row>
    <row r="181" spans="1:39" customFormat="1" outlineLevel="2">
      <c r="A181" s="309"/>
      <c r="B181" s="302"/>
      <c r="C181" s="349" t="s">
        <v>259</v>
      </c>
      <c r="D181" s="64" t="s">
        <v>307</v>
      </c>
      <c r="E181" s="332" t="s">
        <v>28</v>
      </c>
      <c r="F181" s="333" t="s">
        <v>28</v>
      </c>
      <c r="G181" s="333" t="s">
        <v>28</v>
      </c>
      <c r="H181" s="334" t="s">
        <v>28</v>
      </c>
      <c r="I181" s="283" t="str">
        <f t="shared" ref="I181:AL181" si="76">IF(I49&gt;=I96,"OK","BŁĄD")</f>
        <v>OK</v>
      </c>
      <c r="J181" s="276" t="str">
        <f t="shared" si="76"/>
        <v>OK</v>
      </c>
      <c r="K181" s="276" t="str">
        <f t="shared" si="76"/>
        <v>OK</v>
      </c>
      <c r="L181" s="276" t="str">
        <f t="shared" si="76"/>
        <v>OK</v>
      </c>
      <c r="M181" s="276" t="e">
        <f t="shared" si="76"/>
        <v>#REF!</v>
      </c>
      <c r="N181" s="276" t="e">
        <f t="shared" si="76"/>
        <v>#REF!</v>
      </c>
      <c r="O181" s="276" t="e">
        <f t="shared" si="76"/>
        <v>#REF!</v>
      </c>
      <c r="P181" s="276" t="e">
        <f t="shared" si="76"/>
        <v>#REF!</v>
      </c>
      <c r="Q181" s="276" t="e">
        <f t="shared" si="76"/>
        <v>#REF!</v>
      </c>
      <c r="R181" s="276" t="e">
        <f t="shared" si="76"/>
        <v>#REF!</v>
      </c>
      <c r="S181" s="276" t="e">
        <f t="shared" si="76"/>
        <v>#REF!</v>
      </c>
      <c r="T181" s="276" t="e">
        <f t="shared" si="76"/>
        <v>#REF!</v>
      </c>
      <c r="U181" s="276" t="e">
        <f t="shared" si="76"/>
        <v>#REF!</v>
      </c>
      <c r="V181" s="276" t="e">
        <f t="shared" si="76"/>
        <v>#REF!</v>
      </c>
      <c r="W181" s="276" t="e">
        <f t="shared" si="76"/>
        <v>#REF!</v>
      </c>
      <c r="X181" s="276" t="e">
        <f t="shared" si="76"/>
        <v>#REF!</v>
      </c>
      <c r="Y181" s="276" t="e">
        <f t="shared" si="76"/>
        <v>#REF!</v>
      </c>
      <c r="Z181" s="276" t="e">
        <f t="shared" si="76"/>
        <v>#REF!</v>
      </c>
      <c r="AA181" s="276" t="e">
        <f t="shared" si="76"/>
        <v>#REF!</v>
      </c>
      <c r="AB181" s="276" t="e">
        <f t="shared" si="76"/>
        <v>#REF!</v>
      </c>
      <c r="AC181" s="276" t="e">
        <f t="shared" si="76"/>
        <v>#REF!</v>
      </c>
      <c r="AD181" s="276" t="e">
        <f t="shared" si="76"/>
        <v>#REF!</v>
      </c>
      <c r="AE181" s="276" t="e">
        <f t="shared" si="76"/>
        <v>#REF!</v>
      </c>
      <c r="AF181" s="276" t="e">
        <f t="shared" si="76"/>
        <v>#REF!</v>
      </c>
      <c r="AG181" s="276" t="e">
        <f t="shared" si="76"/>
        <v>#REF!</v>
      </c>
      <c r="AH181" s="276" t="e">
        <f t="shared" si="76"/>
        <v>#REF!</v>
      </c>
      <c r="AI181" s="276" t="e">
        <f t="shared" si="76"/>
        <v>#REF!</v>
      </c>
      <c r="AJ181" s="276" t="e">
        <f t="shared" si="76"/>
        <v>#REF!</v>
      </c>
      <c r="AK181" s="276" t="e">
        <f t="shared" si="76"/>
        <v>#REF!</v>
      </c>
      <c r="AL181" s="277" t="e">
        <f t="shared" si="76"/>
        <v>#REF!</v>
      </c>
    </row>
    <row r="182" spans="1:39" customFormat="1" outlineLevel="2">
      <c r="A182" s="309"/>
      <c r="B182" s="303"/>
      <c r="C182" s="304" t="s">
        <v>260</v>
      </c>
      <c r="D182" s="65" t="s">
        <v>308</v>
      </c>
      <c r="E182" s="336" t="s">
        <v>28</v>
      </c>
      <c r="F182" s="337" t="s">
        <v>28</v>
      </c>
      <c r="G182" s="337" t="s">
        <v>28</v>
      </c>
      <c r="H182" s="338" t="s">
        <v>28</v>
      </c>
      <c r="I182" s="284" t="str">
        <f t="shared" ref="I182:AL182" si="77">IF(I26&lt;&gt;0,IF(I27&lt;&gt;0,"OK","BŁĄD"),"N/D")</f>
        <v>OK</v>
      </c>
      <c r="J182" s="280" t="str">
        <f t="shared" si="77"/>
        <v>N/D</v>
      </c>
      <c r="K182" s="280" t="str">
        <f t="shared" si="77"/>
        <v>N/D</v>
      </c>
      <c r="L182" s="280" t="str">
        <f t="shared" si="77"/>
        <v>N/D</v>
      </c>
      <c r="M182" s="280" t="e">
        <f t="shared" si="77"/>
        <v>#REF!</v>
      </c>
      <c r="N182" s="280" t="e">
        <f t="shared" si="77"/>
        <v>#REF!</v>
      </c>
      <c r="O182" s="280" t="e">
        <f t="shared" si="77"/>
        <v>#REF!</v>
      </c>
      <c r="P182" s="280" t="e">
        <f t="shared" si="77"/>
        <v>#REF!</v>
      </c>
      <c r="Q182" s="280" t="e">
        <f t="shared" si="77"/>
        <v>#REF!</v>
      </c>
      <c r="R182" s="280" t="e">
        <f t="shared" si="77"/>
        <v>#REF!</v>
      </c>
      <c r="S182" s="280" t="e">
        <f t="shared" si="77"/>
        <v>#REF!</v>
      </c>
      <c r="T182" s="280" t="e">
        <f t="shared" si="77"/>
        <v>#REF!</v>
      </c>
      <c r="U182" s="280" t="e">
        <f t="shared" si="77"/>
        <v>#REF!</v>
      </c>
      <c r="V182" s="280" t="e">
        <f t="shared" si="77"/>
        <v>#REF!</v>
      </c>
      <c r="W182" s="280" t="e">
        <f t="shared" si="77"/>
        <v>#REF!</v>
      </c>
      <c r="X182" s="280" t="e">
        <f t="shared" si="77"/>
        <v>#REF!</v>
      </c>
      <c r="Y182" s="280" t="e">
        <f t="shared" si="77"/>
        <v>#REF!</v>
      </c>
      <c r="Z182" s="280" t="e">
        <f t="shared" si="77"/>
        <v>#REF!</v>
      </c>
      <c r="AA182" s="280" t="e">
        <f t="shared" si="77"/>
        <v>#REF!</v>
      </c>
      <c r="AB182" s="280" t="e">
        <f t="shared" si="77"/>
        <v>#REF!</v>
      </c>
      <c r="AC182" s="280" t="e">
        <f t="shared" si="77"/>
        <v>#REF!</v>
      </c>
      <c r="AD182" s="280" t="e">
        <f t="shared" si="77"/>
        <v>#REF!</v>
      </c>
      <c r="AE182" s="280" t="e">
        <f t="shared" si="77"/>
        <v>#REF!</v>
      </c>
      <c r="AF182" s="280" t="e">
        <f t="shared" si="77"/>
        <v>#REF!</v>
      </c>
      <c r="AG182" s="280" t="e">
        <f t="shared" si="77"/>
        <v>#REF!</v>
      </c>
      <c r="AH182" s="280" t="e">
        <f t="shared" si="77"/>
        <v>#REF!</v>
      </c>
      <c r="AI182" s="280" t="e">
        <f t="shared" si="77"/>
        <v>#REF!</v>
      </c>
      <c r="AJ182" s="280" t="e">
        <f t="shared" si="77"/>
        <v>#REF!</v>
      </c>
      <c r="AK182" s="280" t="e">
        <f t="shared" si="77"/>
        <v>#REF!</v>
      </c>
      <c r="AL182" s="281" t="e">
        <f t="shared" si="77"/>
        <v>#REF!</v>
      </c>
    </row>
    <row r="183" spans="1:39" customFormat="1" outlineLevel="2">
      <c r="A183" s="309"/>
      <c r="B183" s="60"/>
      <c r="C183" s="60"/>
      <c r="D183" s="60"/>
      <c r="E183" s="16"/>
      <c r="F183" s="16"/>
      <c r="G183" s="16"/>
      <c r="H183" s="16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</row>
    <row r="184" spans="1:39" customFormat="1" outlineLevel="1">
      <c r="A184" s="309"/>
      <c r="B184" s="60"/>
      <c r="C184" s="60"/>
      <c r="D184" s="248" t="s">
        <v>339</v>
      </c>
      <c r="E184" s="16"/>
      <c r="F184" s="16"/>
      <c r="G184" s="16"/>
      <c r="H184" s="16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</row>
    <row r="185" spans="1:39" customFormat="1" ht="15" outlineLevel="2">
      <c r="A185" s="309"/>
      <c r="B185" s="128"/>
      <c r="C185" s="368"/>
      <c r="D185" s="129" t="s">
        <v>29</v>
      </c>
      <c r="E185" s="177">
        <f t="shared" ref="E185:AL185" si="78">E11+E18</f>
        <v>11735693.559999999</v>
      </c>
      <c r="F185" s="178">
        <f t="shared" si="78"/>
        <v>14062028.149999999</v>
      </c>
      <c r="G185" s="178">
        <f t="shared" si="78"/>
        <v>13471394.42</v>
      </c>
      <c r="H185" s="179">
        <f t="shared" si="78"/>
        <v>12708280.6</v>
      </c>
      <c r="I185" s="130">
        <f t="shared" si="78"/>
        <v>14088173.67</v>
      </c>
      <c r="J185" s="131">
        <f t="shared" si="78"/>
        <v>10825000</v>
      </c>
      <c r="K185" s="131">
        <f t="shared" si="78"/>
        <v>12050000</v>
      </c>
      <c r="L185" s="131">
        <f t="shared" si="78"/>
        <v>12170000</v>
      </c>
      <c r="M185" s="131" t="e">
        <f t="shared" si="78"/>
        <v>#REF!</v>
      </c>
      <c r="N185" s="131" t="e">
        <f t="shared" si="78"/>
        <v>#REF!</v>
      </c>
      <c r="O185" s="131" t="e">
        <f t="shared" si="78"/>
        <v>#REF!</v>
      </c>
      <c r="P185" s="131" t="e">
        <f t="shared" si="78"/>
        <v>#REF!</v>
      </c>
      <c r="Q185" s="131" t="e">
        <f t="shared" si="78"/>
        <v>#REF!</v>
      </c>
      <c r="R185" s="131" t="e">
        <f t="shared" si="78"/>
        <v>#REF!</v>
      </c>
      <c r="S185" s="131" t="e">
        <f t="shared" si="78"/>
        <v>#REF!</v>
      </c>
      <c r="T185" s="131" t="e">
        <f t="shared" si="78"/>
        <v>#REF!</v>
      </c>
      <c r="U185" s="131" t="e">
        <f t="shared" si="78"/>
        <v>#REF!</v>
      </c>
      <c r="V185" s="131" t="e">
        <f t="shared" si="78"/>
        <v>#REF!</v>
      </c>
      <c r="W185" s="131" t="e">
        <f t="shared" si="78"/>
        <v>#REF!</v>
      </c>
      <c r="X185" s="131" t="e">
        <f t="shared" si="78"/>
        <v>#REF!</v>
      </c>
      <c r="Y185" s="131" t="e">
        <f t="shared" si="78"/>
        <v>#REF!</v>
      </c>
      <c r="Z185" s="131" t="e">
        <f t="shared" si="78"/>
        <v>#REF!</v>
      </c>
      <c r="AA185" s="131" t="e">
        <f t="shared" si="78"/>
        <v>#REF!</v>
      </c>
      <c r="AB185" s="131" t="e">
        <f t="shared" si="78"/>
        <v>#REF!</v>
      </c>
      <c r="AC185" s="131" t="e">
        <f t="shared" si="78"/>
        <v>#REF!</v>
      </c>
      <c r="AD185" s="131" t="e">
        <f t="shared" si="78"/>
        <v>#REF!</v>
      </c>
      <c r="AE185" s="131" t="e">
        <f t="shared" si="78"/>
        <v>#REF!</v>
      </c>
      <c r="AF185" s="131" t="e">
        <f t="shared" si="78"/>
        <v>#REF!</v>
      </c>
      <c r="AG185" s="131" t="e">
        <f t="shared" si="78"/>
        <v>#REF!</v>
      </c>
      <c r="AH185" s="131" t="e">
        <f t="shared" si="78"/>
        <v>#REF!</v>
      </c>
      <c r="AI185" s="131" t="e">
        <f t="shared" si="78"/>
        <v>#REF!</v>
      </c>
      <c r="AJ185" s="131" t="e">
        <f t="shared" si="78"/>
        <v>#REF!</v>
      </c>
      <c r="AK185" s="131" t="e">
        <f t="shared" si="78"/>
        <v>#REF!</v>
      </c>
      <c r="AL185" s="132" t="e">
        <f t="shared" si="78"/>
        <v>#REF!</v>
      </c>
      <c r="AM185" s="128"/>
    </row>
    <row r="186" spans="1:39" customFormat="1" ht="15" outlineLevel="2">
      <c r="A186" s="309"/>
      <c r="B186" s="128"/>
      <c r="C186" s="368"/>
      <c r="D186" s="133" t="s">
        <v>30</v>
      </c>
      <c r="E186" s="180">
        <f t="shared" ref="E186:AL186" si="79">E22+E30</f>
        <v>12835915.98</v>
      </c>
      <c r="F186" s="181">
        <f t="shared" si="79"/>
        <v>11481546.43</v>
      </c>
      <c r="G186" s="181">
        <f t="shared" si="79"/>
        <v>14584700.699999999</v>
      </c>
      <c r="H186" s="182">
        <f t="shared" si="79"/>
        <v>13777530.739999998</v>
      </c>
      <c r="I186" s="134">
        <f t="shared" si="79"/>
        <v>14058548.48</v>
      </c>
      <c r="J186" s="135">
        <f t="shared" si="79"/>
        <v>10825000</v>
      </c>
      <c r="K186" s="135">
        <f t="shared" si="79"/>
        <v>12050000</v>
      </c>
      <c r="L186" s="135">
        <f t="shared" si="79"/>
        <v>12170000</v>
      </c>
      <c r="M186" s="135" t="e">
        <f t="shared" si="79"/>
        <v>#REF!</v>
      </c>
      <c r="N186" s="135" t="e">
        <f t="shared" si="79"/>
        <v>#REF!</v>
      </c>
      <c r="O186" s="135" t="e">
        <f t="shared" si="79"/>
        <v>#REF!</v>
      </c>
      <c r="P186" s="135" t="e">
        <f t="shared" si="79"/>
        <v>#REF!</v>
      </c>
      <c r="Q186" s="135" t="e">
        <f t="shared" si="79"/>
        <v>#REF!</v>
      </c>
      <c r="R186" s="135" t="e">
        <f t="shared" si="79"/>
        <v>#REF!</v>
      </c>
      <c r="S186" s="135" t="e">
        <f t="shared" si="79"/>
        <v>#REF!</v>
      </c>
      <c r="T186" s="135" t="e">
        <f t="shared" si="79"/>
        <v>#REF!</v>
      </c>
      <c r="U186" s="135" t="e">
        <f t="shared" si="79"/>
        <v>#REF!</v>
      </c>
      <c r="V186" s="135" t="e">
        <f t="shared" si="79"/>
        <v>#REF!</v>
      </c>
      <c r="W186" s="135" t="e">
        <f t="shared" si="79"/>
        <v>#REF!</v>
      </c>
      <c r="X186" s="135" t="e">
        <f t="shared" si="79"/>
        <v>#REF!</v>
      </c>
      <c r="Y186" s="135" t="e">
        <f t="shared" si="79"/>
        <v>#REF!</v>
      </c>
      <c r="Z186" s="135" t="e">
        <f t="shared" si="79"/>
        <v>#REF!</v>
      </c>
      <c r="AA186" s="135" t="e">
        <f t="shared" si="79"/>
        <v>#REF!</v>
      </c>
      <c r="AB186" s="135" t="e">
        <f t="shared" si="79"/>
        <v>#REF!</v>
      </c>
      <c r="AC186" s="135" t="e">
        <f t="shared" si="79"/>
        <v>#REF!</v>
      </c>
      <c r="AD186" s="135" t="e">
        <f t="shared" si="79"/>
        <v>#REF!</v>
      </c>
      <c r="AE186" s="135" t="e">
        <f t="shared" si="79"/>
        <v>#REF!</v>
      </c>
      <c r="AF186" s="135" t="e">
        <f t="shared" si="79"/>
        <v>#REF!</v>
      </c>
      <c r="AG186" s="135" t="e">
        <f t="shared" si="79"/>
        <v>#REF!</v>
      </c>
      <c r="AH186" s="135" t="e">
        <f t="shared" si="79"/>
        <v>#REF!</v>
      </c>
      <c r="AI186" s="135" t="e">
        <f t="shared" si="79"/>
        <v>#REF!</v>
      </c>
      <c r="AJ186" s="135" t="e">
        <f t="shared" si="79"/>
        <v>#REF!</v>
      </c>
      <c r="AK186" s="135" t="e">
        <f t="shared" si="79"/>
        <v>#REF!</v>
      </c>
      <c r="AL186" s="136" t="e">
        <f t="shared" si="79"/>
        <v>#REF!</v>
      </c>
      <c r="AM186" s="128"/>
    </row>
    <row r="187" spans="1:39" customFormat="1" ht="15" outlineLevel="2">
      <c r="A187" s="309"/>
      <c r="B187" s="128"/>
      <c r="C187" s="368"/>
      <c r="D187" s="133" t="s">
        <v>312</v>
      </c>
      <c r="E187" s="180">
        <f t="shared" ref="E187:AL187" si="80">E10-E21</f>
        <v>-1100222.42</v>
      </c>
      <c r="F187" s="181">
        <f t="shared" si="80"/>
        <v>2580481.7200000007</v>
      </c>
      <c r="G187" s="181">
        <f t="shared" si="80"/>
        <v>-1113306.2799999993</v>
      </c>
      <c r="H187" s="182">
        <f t="shared" si="80"/>
        <v>-1069250.1399999987</v>
      </c>
      <c r="I187" s="134">
        <f t="shared" si="80"/>
        <v>29625.189999999478</v>
      </c>
      <c r="J187" s="135">
        <f t="shared" si="80"/>
        <v>0</v>
      </c>
      <c r="K187" s="135">
        <f t="shared" si="80"/>
        <v>0</v>
      </c>
      <c r="L187" s="135">
        <f t="shared" si="80"/>
        <v>0</v>
      </c>
      <c r="M187" s="135" t="e">
        <f t="shared" si="80"/>
        <v>#REF!</v>
      </c>
      <c r="N187" s="135" t="e">
        <f t="shared" si="80"/>
        <v>#REF!</v>
      </c>
      <c r="O187" s="135" t="e">
        <f t="shared" si="80"/>
        <v>#REF!</v>
      </c>
      <c r="P187" s="135" t="e">
        <f t="shared" si="80"/>
        <v>#REF!</v>
      </c>
      <c r="Q187" s="135" t="e">
        <f t="shared" si="80"/>
        <v>#REF!</v>
      </c>
      <c r="R187" s="135" t="e">
        <f t="shared" si="80"/>
        <v>#REF!</v>
      </c>
      <c r="S187" s="135" t="e">
        <f t="shared" si="80"/>
        <v>#REF!</v>
      </c>
      <c r="T187" s="135" t="e">
        <f t="shared" si="80"/>
        <v>#REF!</v>
      </c>
      <c r="U187" s="135" t="e">
        <f t="shared" si="80"/>
        <v>#REF!</v>
      </c>
      <c r="V187" s="135" t="e">
        <f t="shared" si="80"/>
        <v>#REF!</v>
      </c>
      <c r="W187" s="135" t="e">
        <f t="shared" si="80"/>
        <v>#REF!</v>
      </c>
      <c r="X187" s="135" t="e">
        <f t="shared" si="80"/>
        <v>#REF!</v>
      </c>
      <c r="Y187" s="135" t="e">
        <f t="shared" si="80"/>
        <v>#REF!</v>
      </c>
      <c r="Z187" s="135" t="e">
        <f t="shared" si="80"/>
        <v>#REF!</v>
      </c>
      <c r="AA187" s="135" t="e">
        <f t="shared" si="80"/>
        <v>#REF!</v>
      </c>
      <c r="AB187" s="135" t="e">
        <f t="shared" si="80"/>
        <v>#REF!</v>
      </c>
      <c r="AC187" s="135" t="e">
        <f t="shared" si="80"/>
        <v>#REF!</v>
      </c>
      <c r="AD187" s="135" t="e">
        <f t="shared" si="80"/>
        <v>#REF!</v>
      </c>
      <c r="AE187" s="135" t="e">
        <f t="shared" si="80"/>
        <v>#REF!</v>
      </c>
      <c r="AF187" s="135" t="e">
        <f t="shared" si="80"/>
        <v>#REF!</v>
      </c>
      <c r="AG187" s="135" t="e">
        <f t="shared" si="80"/>
        <v>#REF!</v>
      </c>
      <c r="AH187" s="135" t="e">
        <f t="shared" si="80"/>
        <v>#REF!</v>
      </c>
      <c r="AI187" s="135" t="e">
        <f t="shared" si="80"/>
        <v>#REF!</v>
      </c>
      <c r="AJ187" s="135" t="e">
        <f t="shared" si="80"/>
        <v>#REF!</v>
      </c>
      <c r="AK187" s="135" t="e">
        <f t="shared" si="80"/>
        <v>#REF!</v>
      </c>
      <c r="AL187" s="136" t="e">
        <f t="shared" si="80"/>
        <v>#REF!</v>
      </c>
      <c r="AM187" s="128"/>
    </row>
    <row r="188" spans="1:39" customFormat="1" ht="15" outlineLevel="2">
      <c r="A188" s="309"/>
      <c r="B188" s="128"/>
      <c r="C188" s="368"/>
      <c r="D188" s="137" t="s">
        <v>313</v>
      </c>
      <c r="E188" s="308" t="s">
        <v>28</v>
      </c>
      <c r="F188" s="181">
        <f>E48+F37-F42+(F105-E105)+F110</f>
        <v>1422477.65</v>
      </c>
      <c r="G188" s="339" t="s">
        <v>28</v>
      </c>
      <c r="H188" s="182">
        <f>F48+H37-H42+(H105-F105)+H110</f>
        <v>773956.19</v>
      </c>
      <c r="I188" s="134">
        <f t="shared" ref="I188:AL188" si="81">H48+I37-I42+(I105-H105)+I110</f>
        <v>0</v>
      </c>
      <c r="J188" s="135">
        <f t="shared" si="81"/>
        <v>0</v>
      </c>
      <c r="K188" s="135">
        <f t="shared" si="81"/>
        <v>0</v>
      </c>
      <c r="L188" s="135">
        <f t="shared" si="81"/>
        <v>0</v>
      </c>
      <c r="M188" s="135" t="e">
        <f t="shared" si="81"/>
        <v>#REF!</v>
      </c>
      <c r="N188" s="135" t="e">
        <f t="shared" si="81"/>
        <v>#REF!</v>
      </c>
      <c r="O188" s="135" t="e">
        <f t="shared" si="81"/>
        <v>#REF!</v>
      </c>
      <c r="P188" s="135" t="e">
        <f t="shared" si="81"/>
        <v>#REF!</v>
      </c>
      <c r="Q188" s="135" t="e">
        <f t="shared" si="81"/>
        <v>#REF!</v>
      </c>
      <c r="R188" s="135" t="e">
        <f t="shared" si="81"/>
        <v>#REF!</v>
      </c>
      <c r="S188" s="135" t="e">
        <f t="shared" si="81"/>
        <v>#REF!</v>
      </c>
      <c r="T188" s="135" t="e">
        <f t="shared" si="81"/>
        <v>#REF!</v>
      </c>
      <c r="U188" s="135" t="e">
        <f t="shared" si="81"/>
        <v>#REF!</v>
      </c>
      <c r="V188" s="135" t="e">
        <f t="shared" si="81"/>
        <v>#REF!</v>
      </c>
      <c r="W188" s="135" t="e">
        <f t="shared" si="81"/>
        <v>#REF!</v>
      </c>
      <c r="X188" s="135" t="e">
        <f t="shared" si="81"/>
        <v>#REF!</v>
      </c>
      <c r="Y188" s="135" t="e">
        <f t="shared" si="81"/>
        <v>#REF!</v>
      </c>
      <c r="Z188" s="135" t="e">
        <f t="shared" si="81"/>
        <v>#REF!</v>
      </c>
      <c r="AA188" s="135" t="e">
        <f t="shared" si="81"/>
        <v>#REF!</v>
      </c>
      <c r="AB188" s="135" t="e">
        <f t="shared" si="81"/>
        <v>#REF!</v>
      </c>
      <c r="AC188" s="135" t="e">
        <f t="shared" si="81"/>
        <v>#REF!</v>
      </c>
      <c r="AD188" s="135" t="e">
        <f t="shared" si="81"/>
        <v>#REF!</v>
      </c>
      <c r="AE188" s="135" t="e">
        <f t="shared" si="81"/>
        <v>#REF!</v>
      </c>
      <c r="AF188" s="135" t="e">
        <f t="shared" si="81"/>
        <v>#REF!</v>
      </c>
      <c r="AG188" s="135" t="e">
        <f t="shared" si="81"/>
        <v>#REF!</v>
      </c>
      <c r="AH188" s="135" t="e">
        <f t="shared" si="81"/>
        <v>#REF!</v>
      </c>
      <c r="AI188" s="135" t="e">
        <f t="shared" si="81"/>
        <v>#REF!</v>
      </c>
      <c r="AJ188" s="135" t="e">
        <f t="shared" si="81"/>
        <v>#REF!</v>
      </c>
      <c r="AK188" s="135" t="e">
        <f t="shared" si="81"/>
        <v>#REF!</v>
      </c>
      <c r="AL188" s="136" t="e">
        <f t="shared" si="81"/>
        <v>#REF!</v>
      </c>
      <c r="AM188" s="128"/>
    </row>
    <row r="189" spans="1:39" customFormat="1" ht="24" outlineLevel="2">
      <c r="A189" s="309"/>
      <c r="B189" s="128"/>
      <c r="C189" s="368"/>
      <c r="D189" s="138" t="s">
        <v>343</v>
      </c>
      <c r="E189" s="275" t="s">
        <v>28</v>
      </c>
      <c r="F189" s="183">
        <f>E96-(F98+F99+F100+F101)</f>
        <v>0</v>
      </c>
      <c r="G189" s="340" t="s">
        <v>28</v>
      </c>
      <c r="H189" s="184">
        <f>F96-(H98+H99+H100+H101)</f>
        <v>0</v>
      </c>
      <c r="I189" s="139">
        <f t="shared" ref="I189:AL189" si="82">H96-(I98+I99+I100+I101)</f>
        <v>0</v>
      </c>
      <c r="J189" s="140">
        <f t="shared" si="82"/>
        <v>0</v>
      </c>
      <c r="K189" s="140">
        <f t="shared" si="82"/>
        <v>0</v>
      </c>
      <c r="L189" s="140">
        <f t="shared" si="82"/>
        <v>0</v>
      </c>
      <c r="M189" s="140" t="e">
        <f t="shared" si="82"/>
        <v>#REF!</v>
      </c>
      <c r="N189" s="140" t="e">
        <f t="shared" si="82"/>
        <v>#REF!</v>
      </c>
      <c r="O189" s="140" t="e">
        <f t="shared" si="82"/>
        <v>#REF!</v>
      </c>
      <c r="P189" s="140" t="e">
        <f t="shared" si="82"/>
        <v>#REF!</v>
      </c>
      <c r="Q189" s="140" t="e">
        <f t="shared" si="82"/>
        <v>#REF!</v>
      </c>
      <c r="R189" s="140" t="e">
        <f t="shared" si="82"/>
        <v>#REF!</v>
      </c>
      <c r="S189" s="140" t="e">
        <f t="shared" si="82"/>
        <v>#REF!</v>
      </c>
      <c r="T189" s="140" t="e">
        <f t="shared" si="82"/>
        <v>#REF!</v>
      </c>
      <c r="U189" s="140" t="e">
        <f t="shared" si="82"/>
        <v>#REF!</v>
      </c>
      <c r="V189" s="140" t="e">
        <f t="shared" si="82"/>
        <v>#REF!</v>
      </c>
      <c r="W189" s="140" t="e">
        <f t="shared" si="82"/>
        <v>#REF!</v>
      </c>
      <c r="X189" s="140" t="e">
        <f t="shared" si="82"/>
        <v>#REF!</v>
      </c>
      <c r="Y189" s="140" t="e">
        <f t="shared" si="82"/>
        <v>#REF!</v>
      </c>
      <c r="Z189" s="140" t="e">
        <f t="shared" si="82"/>
        <v>#REF!</v>
      </c>
      <c r="AA189" s="140" t="e">
        <f t="shared" si="82"/>
        <v>#REF!</v>
      </c>
      <c r="AB189" s="140" t="e">
        <f t="shared" si="82"/>
        <v>#REF!</v>
      </c>
      <c r="AC189" s="140" t="e">
        <f t="shared" si="82"/>
        <v>#REF!</v>
      </c>
      <c r="AD189" s="140" t="e">
        <f t="shared" si="82"/>
        <v>#REF!</v>
      </c>
      <c r="AE189" s="140" t="e">
        <f t="shared" si="82"/>
        <v>#REF!</v>
      </c>
      <c r="AF189" s="140" t="e">
        <f t="shared" si="82"/>
        <v>#REF!</v>
      </c>
      <c r="AG189" s="140" t="e">
        <f t="shared" si="82"/>
        <v>#REF!</v>
      </c>
      <c r="AH189" s="140" t="e">
        <f t="shared" si="82"/>
        <v>#REF!</v>
      </c>
      <c r="AI189" s="140" t="e">
        <f t="shared" si="82"/>
        <v>#REF!</v>
      </c>
      <c r="AJ189" s="140" t="e">
        <f t="shared" si="82"/>
        <v>#REF!</v>
      </c>
      <c r="AK189" s="140" t="e">
        <f t="shared" si="82"/>
        <v>#REF!</v>
      </c>
      <c r="AL189" s="141" t="e">
        <f t="shared" si="82"/>
        <v>#REF!</v>
      </c>
      <c r="AM189" s="128"/>
    </row>
    <row r="190" spans="1:39" customFormat="1">
      <c r="A190" s="309"/>
      <c r="B190" s="1"/>
      <c r="C190" s="365"/>
      <c r="D190" s="1"/>
      <c r="E190" s="6"/>
      <c r="F190" s="6"/>
      <c r="G190" s="6"/>
      <c r="H190" s="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9" customFormat="1" ht="15.75">
      <c r="A191" s="309"/>
      <c r="B191" s="1"/>
      <c r="C191" s="365"/>
      <c r="D191" s="245" t="s">
        <v>32</v>
      </c>
      <c r="E191" s="55"/>
      <c r="F191" s="55"/>
      <c r="G191" s="55"/>
      <c r="H191" s="5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9" customFormat="1" outlineLevel="1">
      <c r="A192" s="309"/>
      <c r="B192" s="1"/>
      <c r="C192" s="365"/>
      <c r="D192" s="246" t="s">
        <v>37</v>
      </c>
      <c r="E192" s="56"/>
      <c r="F192" s="56"/>
      <c r="G192" s="56"/>
      <c r="H192" s="5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9" customFormat="1" outlineLevel="2">
      <c r="A193" s="309"/>
      <c r="B193" s="1"/>
      <c r="C193" s="365"/>
      <c r="D193" s="22">
        <v>0</v>
      </c>
      <c r="E193" s="25" t="str">
        <f>+"różnica mniejsza od "&amp;TEXT(D193*100,"0,0")&amp;"%"</f>
        <v>różnica mniejsza od 0,0%</v>
      </c>
      <c r="F193" s="57"/>
      <c r="G193" s="57"/>
      <c r="H193" s="5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9" customFormat="1" outlineLevel="2">
      <c r="A194" s="309"/>
      <c r="B194" s="1"/>
      <c r="C194" s="365"/>
      <c r="D194" s="23">
        <v>5.0000000000000001E-3</v>
      </c>
      <c r="E194" s="25" t="str">
        <f>+"różnica mniejsza od "&amp;TEXT(D194*100,"0,0")&amp;"%"</f>
        <v>różnica mniejsza od 0,5%</v>
      </c>
      <c r="F194" s="57"/>
      <c r="G194" s="57"/>
      <c r="H194" s="5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9" customFormat="1" outlineLevel="2">
      <c r="A195" s="309"/>
      <c r="B195" s="1"/>
      <c r="C195" s="365"/>
      <c r="D195" s="24">
        <v>0.01</v>
      </c>
      <c r="E195" s="25" t="str">
        <f>+"różnica mniejsza od "&amp;TEXT(D195*100,"0,0")&amp;"%"</f>
        <v>różnica mniejsza od 1,0%</v>
      </c>
      <c r="F195" s="57"/>
      <c r="G195" s="57"/>
      <c r="H195" s="57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9" customFormat="1" outlineLevel="2">
      <c r="A196" s="309"/>
      <c r="B196" s="1"/>
      <c r="C196" s="365"/>
      <c r="D196" s="232" t="s">
        <v>329</v>
      </c>
      <c r="E196" s="312" t="s">
        <v>28</v>
      </c>
      <c r="F196" s="313" t="s">
        <v>28</v>
      </c>
      <c r="G196" s="313" t="s">
        <v>28</v>
      </c>
      <c r="H196" s="314" t="s">
        <v>28</v>
      </c>
      <c r="I196" s="233">
        <f t="shared" ref="I196:AL196" si="83">+IF(I10=0,"",I59-I54)</f>
        <v>0.13253333333333331</v>
      </c>
      <c r="J196" s="234">
        <f t="shared" si="83"/>
        <v>0.21789999999999998</v>
      </c>
      <c r="K196" s="234">
        <f t="shared" si="83"/>
        <v>0.1827</v>
      </c>
      <c r="L196" s="234">
        <f t="shared" si="83"/>
        <v>0.18676666666666666</v>
      </c>
      <c r="M196" s="234" t="e">
        <f t="shared" si="83"/>
        <v>#REF!</v>
      </c>
      <c r="N196" s="234" t="e">
        <f t="shared" si="83"/>
        <v>#REF!</v>
      </c>
      <c r="O196" s="234" t="e">
        <f t="shared" si="83"/>
        <v>#REF!</v>
      </c>
      <c r="P196" s="234" t="e">
        <f t="shared" si="83"/>
        <v>#REF!</v>
      </c>
      <c r="Q196" s="234" t="e">
        <f t="shared" si="83"/>
        <v>#REF!</v>
      </c>
      <c r="R196" s="234" t="e">
        <f t="shared" si="83"/>
        <v>#REF!</v>
      </c>
      <c r="S196" s="234" t="e">
        <f t="shared" si="83"/>
        <v>#REF!</v>
      </c>
      <c r="T196" s="234" t="e">
        <f t="shared" si="83"/>
        <v>#REF!</v>
      </c>
      <c r="U196" s="234" t="e">
        <f t="shared" si="83"/>
        <v>#REF!</v>
      </c>
      <c r="V196" s="234" t="e">
        <f t="shared" si="83"/>
        <v>#REF!</v>
      </c>
      <c r="W196" s="234" t="e">
        <f t="shared" si="83"/>
        <v>#REF!</v>
      </c>
      <c r="X196" s="234" t="e">
        <f t="shared" si="83"/>
        <v>#REF!</v>
      </c>
      <c r="Y196" s="234" t="e">
        <f t="shared" si="83"/>
        <v>#REF!</v>
      </c>
      <c r="Z196" s="234" t="e">
        <f t="shared" si="83"/>
        <v>#REF!</v>
      </c>
      <c r="AA196" s="234" t="e">
        <f t="shared" si="83"/>
        <v>#REF!</v>
      </c>
      <c r="AB196" s="234" t="e">
        <f t="shared" si="83"/>
        <v>#REF!</v>
      </c>
      <c r="AC196" s="234" t="e">
        <f t="shared" si="83"/>
        <v>#REF!</v>
      </c>
      <c r="AD196" s="234" t="e">
        <f t="shared" si="83"/>
        <v>#REF!</v>
      </c>
      <c r="AE196" s="234" t="e">
        <f t="shared" si="83"/>
        <v>#REF!</v>
      </c>
      <c r="AF196" s="234" t="e">
        <f t="shared" si="83"/>
        <v>#REF!</v>
      </c>
      <c r="AG196" s="234" t="e">
        <f t="shared" si="83"/>
        <v>#REF!</v>
      </c>
      <c r="AH196" s="234" t="e">
        <f t="shared" si="83"/>
        <v>#REF!</v>
      </c>
      <c r="AI196" s="234" t="e">
        <f t="shared" si="83"/>
        <v>#REF!</v>
      </c>
      <c r="AJ196" s="234" t="e">
        <f t="shared" si="83"/>
        <v>#REF!</v>
      </c>
      <c r="AK196" s="234" t="e">
        <f t="shared" si="83"/>
        <v>#REF!</v>
      </c>
      <c r="AL196" s="235" t="e">
        <f t="shared" si="83"/>
        <v>#REF!</v>
      </c>
    </row>
    <row r="197" spans="1:39" customFormat="1" outlineLevel="2">
      <c r="A197" s="309"/>
      <c r="B197" s="1"/>
      <c r="C197" s="365"/>
      <c r="D197" s="236" t="s">
        <v>330</v>
      </c>
      <c r="E197" s="315" t="s">
        <v>28</v>
      </c>
      <c r="F197" s="316" t="s">
        <v>28</v>
      </c>
      <c r="G197" s="316" t="s">
        <v>28</v>
      </c>
      <c r="H197" s="317" t="s">
        <v>28</v>
      </c>
      <c r="I197" s="237">
        <f t="shared" ref="I197:AL197" si="84">+IF(I10=0,"",I59-I55)</f>
        <v>0.13253333333333331</v>
      </c>
      <c r="J197" s="238">
        <f t="shared" si="84"/>
        <v>0.21789999999999998</v>
      </c>
      <c r="K197" s="238">
        <f t="shared" si="84"/>
        <v>0.1827</v>
      </c>
      <c r="L197" s="238">
        <f t="shared" si="84"/>
        <v>0.18676666666666666</v>
      </c>
      <c r="M197" s="238" t="e">
        <f t="shared" si="84"/>
        <v>#REF!</v>
      </c>
      <c r="N197" s="238" t="e">
        <f t="shared" si="84"/>
        <v>#REF!</v>
      </c>
      <c r="O197" s="238" t="e">
        <f t="shared" si="84"/>
        <v>#REF!</v>
      </c>
      <c r="P197" s="238" t="e">
        <f t="shared" si="84"/>
        <v>#REF!</v>
      </c>
      <c r="Q197" s="238" t="e">
        <f t="shared" si="84"/>
        <v>#REF!</v>
      </c>
      <c r="R197" s="238" t="e">
        <f t="shared" si="84"/>
        <v>#REF!</v>
      </c>
      <c r="S197" s="238" t="e">
        <f t="shared" si="84"/>
        <v>#REF!</v>
      </c>
      <c r="T197" s="238" t="e">
        <f t="shared" si="84"/>
        <v>#REF!</v>
      </c>
      <c r="U197" s="238" t="e">
        <f t="shared" si="84"/>
        <v>#REF!</v>
      </c>
      <c r="V197" s="238" t="e">
        <f t="shared" si="84"/>
        <v>#REF!</v>
      </c>
      <c r="W197" s="238" t="e">
        <f t="shared" si="84"/>
        <v>#REF!</v>
      </c>
      <c r="X197" s="238" t="e">
        <f t="shared" si="84"/>
        <v>#REF!</v>
      </c>
      <c r="Y197" s="238" t="e">
        <f t="shared" si="84"/>
        <v>#REF!</v>
      </c>
      <c r="Z197" s="238" t="e">
        <f t="shared" si="84"/>
        <v>#REF!</v>
      </c>
      <c r="AA197" s="238" t="e">
        <f t="shared" si="84"/>
        <v>#REF!</v>
      </c>
      <c r="AB197" s="238" t="e">
        <f t="shared" si="84"/>
        <v>#REF!</v>
      </c>
      <c r="AC197" s="238" t="e">
        <f t="shared" si="84"/>
        <v>#REF!</v>
      </c>
      <c r="AD197" s="238" t="e">
        <f t="shared" si="84"/>
        <v>#REF!</v>
      </c>
      <c r="AE197" s="238" t="e">
        <f t="shared" si="84"/>
        <v>#REF!</v>
      </c>
      <c r="AF197" s="238" t="e">
        <f t="shared" si="84"/>
        <v>#REF!</v>
      </c>
      <c r="AG197" s="238" t="e">
        <f t="shared" si="84"/>
        <v>#REF!</v>
      </c>
      <c r="AH197" s="238" t="e">
        <f t="shared" si="84"/>
        <v>#REF!</v>
      </c>
      <c r="AI197" s="238" t="e">
        <f t="shared" si="84"/>
        <v>#REF!</v>
      </c>
      <c r="AJ197" s="238" t="e">
        <f t="shared" si="84"/>
        <v>#REF!</v>
      </c>
      <c r="AK197" s="238" t="e">
        <f t="shared" si="84"/>
        <v>#REF!</v>
      </c>
      <c r="AL197" s="239" t="e">
        <f t="shared" si="84"/>
        <v>#REF!</v>
      </c>
    </row>
    <row r="198" spans="1:39" customFormat="1" outlineLevel="2">
      <c r="A198" s="309"/>
      <c r="B198" s="1"/>
      <c r="C198" s="365"/>
      <c r="D198" s="232" t="s">
        <v>331</v>
      </c>
      <c r="E198" s="312" t="s">
        <v>28</v>
      </c>
      <c r="F198" s="313" t="s">
        <v>28</v>
      </c>
      <c r="G198" s="313" t="s">
        <v>28</v>
      </c>
      <c r="H198" s="314" t="s">
        <v>28</v>
      </c>
      <c r="I198" s="233">
        <f t="shared" ref="I198:AL198" si="85">+IF(I10=0,"",I60-I54)</f>
        <v>0.1303</v>
      </c>
      <c r="J198" s="234">
        <f t="shared" si="85"/>
        <v>0.2157</v>
      </c>
      <c r="K198" s="234">
        <f t="shared" si="85"/>
        <v>0.18049999999999999</v>
      </c>
      <c r="L198" s="234">
        <f t="shared" si="85"/>
        <v>0.18679999999999999</v>
      </c>
      <c r="M198" s="234" t="e">
        <f t="shared" si="85"/>
        <v>#REF!</v>
      </c>
      <c r="N198" s="234" t="e">
        <f t="shared" si="85"/>
        <v>#REF!</v>
      </c>
      <c r="O198" s="234" t="e">
        <f t="shared" si="85"/>
        <v>#REF!</v>
      </c>
      <c r="P198" s="234" t="e">
        <f t="shared" si="85"/>
        <v>#REF!</v>
      </c>
      <c r="Q198" s="234" t="e">
        <f t="shared" si="85"/>
        <v>#REF!</v>
      </c>
      <c r="R198" s="234" t="e">
        <f t="shared" si="85"/>
        <v>#REF!</v>
      </c>
      <c r="S198" s="234" t="e">
        <f t="shared" si="85"/>
        <v>#REF!</v>
      </c>
      <c r="T198" s="234" t="e">
        <f t="shared" si="85"/>
        <v>#REF!</v>
      </c>
      <c r="U198" s="234" t="e">
        <f t="shared" si="85"/>
        <v>#REF!</v>
      </c>
      <c r="V198" s="234" t="e">
        <f t="shared" si="85"/>
        <v>#REF!</v>
      </c>
      <c r="W198" s="234" t="e">
        <f t="shared" si="85"/>
        <v>#REF!</v>
      </c>
      <c r="X198" s="234" t="e">
        <f t="shared" si="85"/>
        <v>#REF!</v>
      </c>
      <c r="Y198" s="234" t="e">
        <f t="shared" si="85"/>
        <v>#REF!</v>
      </c>
      <c r="Z198" s="234" t="e">
        <f t="shared" si="85"/>
        <v>#REF!</v>
      </c>
      <c r="AA198" s="234" t="e">
        <f t="shared" si="85"/>
        <v>#REF!</v>
      </c>
      <c r="AB198" s="234" t="e">
        <f t="shared" si="85"/>
        <v>#REF!</v>
      </c>
      <c r="AC198" s="234" t="e">
        <f t="shared" si="85"/>
        <v>#REF!</v>
      </c>
      <c r="AD198" s="234" t="e">
        <f t="shared" si="85"/>
        <v>#REF!</v>
      </c>
      <c r="AE198" s="234" t="e">
        <f t="shared" si="85"/>
        <v>#REF!</v>
      </c>
      <c r="AF198" s="234" t="e">
        <f t="shared" si="85"/>
        <v>#REF!</v>
      </c>
      <c r="AG198" s="234" t="e">
        <f t="shared" si="85"/>
        <v>#REF!</v>
      </c>
      <c r="AH198" s="234" t="e">
        <f t="shared" si="85"/>
        <v>#REF!</v>
      </c>
      <c r="AI198" s="234" t="e">
        <f t="shared" si="85"/>
        <v>#REF!</v>
      </c>
      <c r="AJ198" s="234" t="e">
        <f t="shared" si="85"/>
        <v>#REF!</v>
      </c>
      <c r="AK198" s="234" t="e">
        <f t="shared" si="85"/>
        <v>#REF!</v>
      </c>
      <c r="AL198" s="235" t="e">
        <f t="shared" si="85"/>
        <v>#REF!</v>
      </c>
    </row>
    <row r="199" spans="1:39" customFormat="1" outlineLevel="2">
      <c r="A199" s="309"/>
      <c r="B199" s="1"/>
      <c r="C199" s="365"/>
      <c r="D199" s="236" t="s">
        <v>332</v>
      </c>
      <c r="E199" s="315" t="s">
        <v>28</v>
      </c>
      <c r="F199" s="316" t="s">
        <v>28</v>
      </c>
      <c r="G199" s="316" t="s">
        <v>28</v>
      </c>
      <c r="H199" s="317" t="s">
        <v>28</v>
      </c>
      <c r="I199" s="237">
        <f t="shared" ref="I199:AL199" si="86">+IF(I10=0,"",I60-I55)</f>
        <v>0.1303</v>
      </c>
      <c r="J199" s="238">
        <f t="shared" si="86"/>
        <v>0.2157</v>
      </c>
      <c r="K199" s="238">
        <f t="shared" si="86"/>
        <v>0.18049999999999999</v>
      </c>
      <c r="L199" s="238">
        <f t="shared" si="86"/>
        <v>0.18679999999999999</v>
      </c>
      <c r="M199" s="238" t="e">
        <f t="shared" si="86"/>
        <v>#REF!</v>
      </c>
      <c r="N199" s="238" t="e">
        <f t="shared" si="86"/>
        <v>#REF!</v>
      </c>
      <c r="O199" s="238" t="e">
        <f t="shared" si="86"/>
        <v>#REF!</v>
      </c>
      <c r="P199" s="238" t="e">
        <f t="shared" si="86"/>
        <v>#REF!</v>
      </c>
      <c r="Q199" s="238" t="e">
        <f t="shared" si="86"/>
        <v>#REF!</v>
      </c>
      <c r="R199" s="238" t="e">
        <f t="shared" si="86"/>
        <v>#REF!</v>
      </c>
      <c r="S199" s="238" t="e">
        <f t="shared" si="86"/>
        <v>#REF!</v>
      </c>
      <c r="T199" s="238" t="e">
        <f t="shared" si="86"/>
        <v>#REF!</v>
      </c>
      <c r="U199" s="238" t="e">
        <f t="shared" si="86"/>
        <v>#REF!</v>
      </c>
      <c r="V199" s="238" t="e">
        <f t="shared" si="86"/>
        <v>#REF!</v>
      </c>
      <c r="W199" s="238" t="e">
        <f t="shared" si="86"/>
        <v>#REF!</v>
      </c>
      <c r="X199" s="238" t="e">
        <f t="shared" si="86"/>
        <v>#REF!</v>
      </c>
      <c r="Y199" s="238" t="e">
        <f t="shared" si="86"/>
        <v>#REF!</v>
      </c>
      <c r="Z199" s="238" t="e">
        <f t="shared" si="86"/>
        <v>#REF!</v>
      </c>
      <c r="AA199" s="238" t="e">
        <f t="shared" si="86"/>
        <v>#REF!</v>
      </c>
      <c r="AB199" s="238" t="e">
        <f t="shared" si="86"/>
        <v>#REF!</v>
      </c>
      <c r="AC199" s="238" t="e">
        <f t="shared" si="86"/>
        <v>#REF!</v>
      </c>
      <c r="AD199" s="238" t="e">
        <f t="shared" si="86"/>
        <v>#REF!</v>
      </c>
      <c r="AE199" s="238" t="e">
        <f t="shared" si="86"/>
        <v>#REF!</v>
      </c>
      <c r="AF199" s="238" t="e">
        <f t="shared" si="86"/>
        <v>#REF!</v>
      </c>
      <c r="AG199" s="238" t="e">
        <f t="shared" si="86"/>
        <v>#REF!</v>
      </c>
      <c r="AH199" s="238" t="e">
        <f t="shared" si="86"/>
        <v>#REF!</v>
      </c>
      <c r="AI199" s="238" t="e">
        <f t="shared" si="86"/>
        <v>#REF!</v>
      </c>
      <c r="AJ199" s="238" t="e">
        <f t="shared" si="86"/>
        <v>#REF!</v>
      </c>
      <c r="AK199" s="238" t="e">
        <f t="shared" si="86"/>
        <v>#REF!</v>
      </c>
      <c r="AL199" s="239" t="e">
        <f t="shared" si="86"/>
        <v>#REF!</v>
      </c>
    </row>
    <row r="200" spans="1:39" customFormat="1" outlineLevel="1">
      <c r="A200" s="309"/>
      <c r="B200" s="1"/>
      <c r="C200" s="365"/>
      <c r="D200" s="246" t="s">
        <v>336</v>
      </c>
      <c r="E200" s="56"/>
      <c r="F200" s="56"/>
      <c r="G200" s="56"/>
      <c r="H200" s="56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9" customFormat="1" outlineLevel="2">
      <c r="A201" s="309"/>
      <c r="B201" s="1"/>
      <c r="C201" s="365"/>
      <c r="D201" s="19">
        <v>0.05</v>
      </c>
      <c r="E201" s="25" t="str">
        <f>+"zmiana większa niż +/- "&amp;TEXT(D201*100,"0,0")&amp;"%"</f>
        <v>zmiana większa niż +/- 5,0%</v>
      </c>
      <c r="F201" s="58"/>
      <c r="G201" s="58"/>
      <c r="H201" s="58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9" customFormat="1" outlineLevel="2">
      <c r="A202" s="309"/>
      <c r="B202" s="1"/>
      <c r="C202" s="365"/>
      <c r="D202" s="20">
        <v>0.1</v>
      </c>
      <c r="E202" s="25" t="str">
        <f>+"zmiana większa niż +/- "&amp;TEXT(D202*100,"0,0")&amp;"%"</f>
        <v>zmiana większa niż +/- 10,0%</v>
      </c>
      <c r="F202" s="58"/>
      <c r="G202" s="58"/>
      <c r="H202" s="58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9" customFormat="1" ht="24" outlineLevel="2">
      <c r="A203" s="309"/>
      <c r="B203" s="1"/>
      <c r="C203" s="365"/>
      <c r="D203" s="21">
        <v>0.2</v>
      </c>
      <c r="E203" s="25" t="str">
        <f>+"zmiana większa niż +/- "&amp;TEXT(D203*100,"0,0")&amp;"%"</f>
        <v>zmiana większa niż +/- 20,0%</v>
      </c>
      <c r="F203" s="58"/>
      <c r="G203" s="343" t="s">
        <v>352</v>
      </c>
      <c r="H203" s="343" t="s">
        <v>351</v>
      </c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9" customFormat="1" outlineLevel="2">
      <c r="A204" s="309"/>
      <c r="B204" s="218"/>
      <c r="C204" s="369"/>
      <c r="D204" s="143" t="s">
        <v>24</v>
      </c>
      <c r="E204" s="318" t="s">
        <v>28</v>
      </c>
      <c r="F204" s="144">
        <f t="shared" ref="F204:AL204" si="87">+IF(F10=0,0,IF(E230&lt;&gt;0,F230/E230-1,0))</f>
        <v>0.19822727801355433</v>
      </c>
      <c r="G204" s="144">
        <f t="shared" si="87"/>
        <v>-4.2002030126785161E-2</v>
      </c>
      <c r="H204" s="145">
        <f t="shared" si="87"/>
        <v>-5.6646980721391405E-2</v>
      </c>
      <c r="I204" s="219">
        <f t="shared" si="87"/>
        <v>0.10858220033322219</v>
      </c>
      <c r="J204" s="220">
        <f t="shared" si="87"/>
        <v>-0.23162503149352498</v>
      </c>
      <c r="K204" s="220">
        <f t="shared" si="87"/>
        <v>0.1131639722863742</v>
      </c>
      <c r="L204" s="220">
        <f t="shared" si="87"/>
        <v>9.9585062240663547E-3</v>
      </c>
      <c r="M204" s="220" t="e">
        <f t="shared" si="87"/>
        <v>#REF!</v>
      </c>
      <c r="N204" s="220" t="e">
        <f t="shared" si="87"/>
        <v>#REF!</v>
      </c>
      <c r="O204" s="220" t="e">
        <f t="shared" si="87"/>
        <v>#REF!</v>
      </c>
      <c r="P204" s="220" t="e">
        <f t="shared" si="87"/>
        <v>#REF!</v>
      </c>
      <c r="Q204" s="220" t="e">
        <f t="shared" si="87"/>
        <v>#REF!</v>
      </c>
      <c r="R204" s="220" t="e">
        <f t="shared" si="87"/>
        <v>#REF!</v>
      </c>
      <c r="S204" s="220" t="e">
        <f t="shared" si="87"/>
        <v>#REF!</v>
      </c>
      <c r="T204" s="220" t="e">
        <f t="shared" si="87"/>
        <v>#REF!</v>
      </c>
      <c r="U204" s="220" t="e">
        <f t="shared" si="87"/>
        <v>#REF!</v>
      </c>
      <c r="V204" s="220" t="e">
        <f t="shared" si="87"/>
        <v>#REF!</v>
      </c>
      <c r="W204" s="220" t="e">
        <f t="shared" si="87"/>
        <v>#REF!</v>
      </c>
      <c r="X204" s="220" t="e">
        <f t="shared" si="87"/>
        <v>#REF!</v>
      </c>
      <c r="Y204" s="220" t="e">
        <f t="shared" si="87"/>
        <v>#REF!</v>
      </c>
      <c r="Z204" s="220" t="e">
        <f t="shared" si="87"/>
        <v>#REF!</v>
      </c>
      <c r="AA204" s="220" t="e">
        <f t="shared" si="87"/>
        <v>#REF!</v>
      </c>
      <c r="AB204" s="220" t="e">
        <f t="shared" si="87"/>
        <v>#REF!</v>
      </c>
      <c r="AC204" s="220" t="e">
        <f t="shared" si="87"/>
        <v>#REF!</v>
      </c>
      <c r="AD204" s="220" t="e">
        <f t="shared" si="87"/>
        <v>#REF!</v>
      </c>
      <c r="AE204" s="220" t="e">
        <f t="shared" si="87"/>
        <v>#REF!</v>
      </c>
      <c r="AF204" s="220" t="e">
        <f t="shared" si="87"/>
        <v>#REF!</v>
      </c>
      <c r="AG204" s="220" t="e">
        <f t="shared" si="87"/>
        <v>#REF!</v>
      </c>
      <c r="AH204" s="220" t="e">
        <f t="shared" si="87"/>
        <v>#REF!</v>
      </c>
      <c r="AI204" s="220" t="e">
        <f t="shared" si="87"/>
        <v>#REF!</v>
      </c>
      <c r="AJ204" s="220" t="e">
        <f t="shared" si="87"/>
        <v>#REF!</v>
      </c>
      <c r="AK204" s="220" t="e">
        <f t="shared" si="87"/>
        <v>#REF!</v>
      </c>
      <c r="AL204" s="221" t="e">
        <f t="shared" si="87"/>
        <v>#REF!</v>
      </c>
      <c r="AM204" s="222"/>
    </row>
    <row r="205" spans="1:39" customFormat="1" ht="15" outlineLevel="2">
      <c r="A205" s="309"/>
      <c r="B205" s="142"/>
      <c r="C205" s="370"/>
      <c r="D205" s="146" t="s">
        <v>316</v>
      </c>
      <c r="E205" s="319" t="s">
        <v>28</v>
      </c>
      <c r="F205" s="185">
        <f t="shared" ref="F205:AL205" si="88">+IF(F10=0,0,IF(E231&lt;&gt;0,F231/E231-1,0))</f>
        <v>0.21523499773174048</v>
      </c>
      <c r="G205" s="185">
        <f t="shared" si="88"/>
        <v>5.5606662871960921E-3</v>
      </c>
      <c r="H205" s="186">
        <f t="shared" si="88"/>
        <v>-6.3050789088112347E-2</v>
      </c>
      <c r="I205" s="147">
        <f t="shared" si="88"/>
        <v>-3.9351475584371354E-2</v>
      </c>
      <c r="J205" s="148">
        <f t="shared" si="88"/>
        <v>-7.0603005648415595E-2</v>
      </c>
      <c r="K205" s="148">
        <f t="shared" si="88"/>
        <v>0.1131639722863742</v>
      </c>
      <c r="L205" s="148">
        <f t="shared" si="88"/>
        <v>9.9585062240663547E-3</v>
      </c>
      <c r="M205" s="148" t="e">
        <f t="shared" si="88"/>
        <v>#REF!</v>
      </c>
      <c r="N205" s="148" t="e">
        <f t="shared" si="88"/>
        <v>#REF!</v>
      </c>
      <c r="O205" s="148" t="e">
        <f t="shared" si="88"/>
        <v>#REF!</v>
      </c>
      <c r="P205" s="148" t="e">
        <f t="shared" si="88"/>
        <v>#REF!</v>
      </c>
      <c r="Q205" s="148" t="e">
        <f t="shared" si="88"/>
        <v>#REF!</v>
      </c>
      <c r="R205" s="148" t="e">
        <f t="shared" si="88"/>
        <v>#REF!</v>
      </c>
      <c r="S205" s="148" t="e">
        <f t="shared" si="88"/>
        <v>#REF!</v>
      </c>
      <c r="T205" s="148" t="e">
        <f t="shared" si="88"/>
        <v>#REF!</v>
      </c>
      <c r="U205" s="148" t="e">
        <f t="shared" si="88"/>
        <v>#REF!</v>
      </c>
      <c r="V205" s="148" t="e">
        <f t="shared" si="88"/>
        <v>#REF!</v>
      </c>
      <c r="W205" s="148" t="e">
        <f t="shared" si="88"/>
        <v>#REF!</v>
      </c>
      <c r="X205" s="148" t="e">
        <f t="shared" si="88"/>
        <v>#REF!</v>
      </c>
      <c r="Y205" s="148" t="e">
        <f t="shared" si="88"/>
        <v>#REF!</v>
      </c>
      <c r="Z205" s="148" t="e">
        <f t="shared" si="88"/>
        <v>#REF!</v>
      </c>
      <c r="AA205" s="148" t="e">
        <f t="shared" si="88"/>
        <v>#REF!</v>
      </c>
      <c r="AB205" s="148" t="e">
        <f t="shared" si="88"/>
        <v>#REF!</v>
      </c>
      <c r="AC205" s="148" t="e">
        <f t="shared" si="88"/>
        <v>#REF!</v>
      </c>
      <c r="AD205" s="148" t="e">
        <f t="shared" si="88"/>
        <v>#REF!</v>
      </c>
      <c r="AE205" s="148" t="e">
        <f t="shared" si="88"/>
        <v>#REF!</v>
      </c>
      <c r="AF205" s="148" t="e">
        <f t="shared" si="88"/>
        <v>#REF!</v>
      </c>
      <c r="AG205" s="148" t="e">
        <f t="shared" si="88"/>
        <v>#REF!</v>
      </c>
      <c r="AH205" s="148" t="e">
        <f t="shared" si="88"/>
        <v>#REF!</v>
      </c>
      <c r="AI205" s="148" t="e">
        <f t="shared" si="88"/>
        <v>#REF!</v>
      </c>
      <c r="AJ205" s="148" t="e">
        <f t="shared" si="88"/>
        <v>#REF!</v>
      </c>
      <c r="AK205" s="148" t="e">
        <f t="shared" si="88"/>
        <v>#REF!</v>
      </c>
      <c r="AL205" s="149" t="e">
        <f t="shared" si="88"/>
        <v>#REF!</v>
      </c>
      <c r="AM205" s="128"/>
    </row>
    <row r="206" spans="1:39" customFormat="1" ht="15" outlineLevel="2">
      <c r="A206" s="309"/>
      <c r="B206" s="142"/>
      <c r="C206" s="370"/>
      <c r="D206" s="150" t="s">
        <v>317</v>
      </c>
      <c r="E206" s="320" t="s">
        <v>28</v>
      </c>
      <c r="F206" s="187">
        <f t="shared" ref="F206:AL206" si="89">+IF(F10=0,0,IF(E232&lt;&gt;0,F232/E232-1,0))</f>
        <v>0.23777705650792025</v>
      </c>
      <c r="G206" s="187">
        <f t="shared" si="89"/>
        <v>-1.0118064235595359E-2</v>
      </c>
      <c r="H206" s="188">
        <f t="shared" si="89"/>
        <v>-3.9784069118105281E-2</v>
      </c>
      <c r="I206" s="147">
        <f t="shared" si="89"/>
        <v>-3.5054407386296949E-2</v>
      </c>
      <c r="J206" s="148">
        <f t="shared" si="89"/>
        <v>-5.4323914981929122E-2</v>
      </c>
      <c r="K206" s="148">
        <f t="shared" si="89"/>
        <v>0.1131639722863742</v>
      </c>
      <c r="L206" s="148">
        <f t="shared" si="89"/>
        <v>9.9585062240663547E-3</v>
      </c>
      <c r="M206" s="148" t="e">
        <f t="shared" si="89"/>
        <v>#REF!</v>
      </c>
      <c r="N206" s="148" t="e">
        <f t="shared" si="89"/>
        <v>#REF!</v>
      </c>
      <c r="O206" s="148" t="e">
        <f t="shared" si="89"/>
        <v>#REF!</v>
      </c>
      <c r="P206" s="148" t="e">
        <f t="shared" si="89"/>
        <v>#REF!</v>
      </c>
      <c r="Q206" s="148" t="e">
        <f t="shared" si="89"/>
        <v>#REF!</v>
      </c>
      <c r="R206" s="148" t="e">
        <f t="shared" si="89"/>
        <v>#REF!</v>
      </c>
      <c r="S206" s="148" t="e">
        <f t="shared" si="89"/>
        <v>#REF!</v>
      </c>
      <c r="T206" s="148" t="e">
        <f t="shared" si="89"/>
        <v>#REF!</v>
      </c>
      <c r="U206" s="148" t="e">
        <f t="shared" si="89"/>
        <v>#REF!</v>
      </c>
      <c r="V206" s="148" t="e">
        <f t="shared" si="89"/>
        <v>#REF!</v>
      </c>
      <c r="W206" s="148" t="e">
        <f t="shared" si="89"/>
        <v>#REF!</v>
      </c>
      <c r="X206" s="148" t="e">
        <f t="shared" si="89"/>
        <v>#REF!</v>
      </c>
      <c r="Y206" s="148" t="e">
        <f t="shared" si="89"/>
        <v>#REF!</v>
      </c>
      <c r="Z206" s="148" t="e">
        <f t="shared" si="89"/>
        <v>#REF!</v>
      </c>
      <c r="AA206" s="148" t="e">
        <f t="shared" si="89"/>
        <v>#REF!</v>
      </c>
      <c r="AB206" s="148" t="e">
        <f t="shared" si="89"/>
        <v>#REF!</v>
      </c>
      <c r="AC206" s="148" t="e">
        <f t="shared" si="89"/>
        <v>#REF!</v>
      </c>
      <c r="AD206" s="148" t="e">
        <f t="shared" si="89"/>
        <v>#REF!</v>
      </c>
      <c r="AE206" s="148" t="e">
        <f t="shared" si="89"/>
        <v>#REF!</v>
      </c>
      <c r="AF206" s="148" t="e">
        <f t="shared" si="89"/>
        <v>#REF!</v>
      </c>
      <c r="AG206" s="148" t="e">
        <f t="shared" si="89"/>
        <v>#REF!</v>
      </c>
      <c r="AH206" s="148" t="e">
        <f t="shared" si="89"/>
        <v>#REF!</v>
      </c>
      <c r="AI206" s="148" t="e">
        <f t="shared" si="89"/>
        <v>#REF!</v>
      </c>
      <c r="AJ206" s="148" t="e">
        <f t="shared" si="89"/>
        <v>#REF!</v>
      </c>
      <c r="AK206" s="148" t="e">
        <f t="shared" si="89"/>
        <v>#REF!</v>
      </c>
      <c r="AL206" s="149" t="e">
        <f t="shared" si="89"/>
        <v>#REF!</v>
      </c>
      <c r="AM206" s="128"/>
    </row>
    <row r="207" spans="1:39" customFormat="1" ht="15" outlineLevel="2">
      <c r="A207" s="309"/>
      <c r="B207" s="142"/>
      <c r="C207" s="370"/>
      <c r="D207" s="150" t="s">
        <v>318</v>
      </c>
      <c r="E207" s="320" t="s">
        <v>28</v>
      </c>
      <c r="F207" s="187">
        <f t="shared" ref="F207:AL207" si="90">+IF(F10=0,0,IF(E233&lt;&gt;0,F233/E233-1,0))</f>
        <v>-0.23343015464939587</v>
      </c>
      <c r="G207" s="187">
        <f t="shared" si="90"/>
        <v>0.50944441802136131</v>
      </c>
      <c r="H207" s="188">
        <f t="shared" si="90"/>
        <v>-0.55341740364668623</v>
      </c>
      <c r="I207" s="147">
        <f t="shared" si="90"/>
        <v>-0.23407799034288879</v>
      </c>
      <c r="J207" s="148">
        <f t="shared" si="90"/>
        <v>-1</v>
      </c>
      <c r="K207" s="148">
        <f t="shared" si="90"/>
        <v>0</v>
      </c>
      <c r="L207" s="148">
        <f t="shared" si="90"/>
        <v>0</v>
      </c>
      <c r="M207" s="148" t="e">
        <f t="shared" si="90"/>
        <v>#REF!</v>
      </c>
      <c r="N207" s="148" t="e">
        <f t="shared" si="90"/>
        <v>#REF!</v>
      </c>
      <c r="O207" s="148" t="e">
        <f t="shared" si="90"/>
        <v>#REF!</v>
      </c>
      <c r="P207" s="148" t="e">
        <f t="shared" si="90"/>
        <v>#REF!</v>
      </c>
      <c r="Q207" s="148" t="e">
        <f t="shared" si="90"/>
        <v>#REF!</v>
      </c>
      <c r="R207" s="148" t="e">
        <f t="shared" si="90"/>
        <v>#REF!</v>
      </c>
      <c r="S207" s="148" t="e">
        <f t="shared" si="90"/>
        <v>#REF!</v>
      </c>
      <c r="T207" s="148" t="e">
        <f t="shared" si="90"/>
        <v>#REF!</v>
      </c>
      <c r="U207" s="148" t="e">
        <f t="shared" si="90"/>
        <v>#REF!</v>
      </c>
      <c r="V207" s="148" t="e">
        <f t="shared" si="90"/>
        <v>#REF!</v>
      </c>
      <c r="W207" s="148" t="e">
        <f t="shared" si="90"/>
        <v>#REF!</v>
      </c>
      <c r="X207" s="148" t="e">
        <f t="shared" si="90"/>
        <v>#REF!</v>
      </c>
      <c r="Y207" s="148" t="e">
        <f t="shared" si="90"/>
        <v>#REF!</v>
      </c>
      <c r="Z207" s="148" t="e">
        <f t="shared" si="90"/>
        <v>#REF!</v>
      </c>
      <c r="AA207" s="148" t="e">
        <f t="shared" si="90"/>
        <v>#REF!</v>
      </c>
      <c r="AB207" s="148" t="e">
        <f t="shared" si="90"/>
        <v>#REF!</v>
      </c>
      <c r="AC207" s="148" t="e">
        <f t="shared" si="90"/>
        <v>#REF!</v>
      </c>
      <c r="AD207" s="148" t="e">
        <f t="shared" si="90"/>
        <v>#REF!</v>
      </c>
      <c r="AE207" s="148" t="e">
        <f t="shared" si="90"/>
        <v>#REF!</v>
      </c>
      <c r="AF207" s="148" t="e">
        <f t="shared" si="90"/>
        <v>#REF!</v>
      </c>
      <c r="AG207" s="148" t="e">
        <f t="shared" si="90"/>
        <v>#REF!</v>
      </c>
      <c r="AH207" s="148" t="e">
        <f t="shared" si="90"/>
        <v>#REF!</v>
      </c>
      <c r="AI207" s="148" t="e">
        <f t="shared" si="90"/>
        <v>#REF!</v>
      </c>
      <c r="AJ207" s="148" t="e">
        <f t="shared" si="90"/>
        <v>#REF!</v>
      </c>
      <c r="AK207" s="148" t="e">
        <f t="shared" si="90"/>
        <v>#REF!</v>
      </c>
      <c r="AL207" s="149" t="e">
        <f t="shared" si="90"/>
        <v>#REF!</v>
      </c>
      <c r="AM207" s="128"/>
    </row>
    <row r="208" spans="1:39" customFormat="1" ht="24" outlineLevel="2">
      <c r="A208" s="309"/>
      <c r="B208" s="142"/>
      <c r="C208" s="370"/>
      <c r="D208" s="150" t="s">
        <v>319</v>
      </c>
      <c r="E208" s="320" t="s">
        <v>28</v>
      </c>
      <c r="F208" s="187">
        <f t="shared" ref="F208:AL208" si="91">+IF(F10=0,0,IF(E234&lt;&gt;0,F234/E234-1,0))</f>
        <v>-0.1278339251570606</v>
      </c>
      <c r="G208" s="187">
        <f t="shared" si="91"/>
        <v>-0.19769495772001278</v>
      </c>
      <c r="H208" s="188">
        <f t="shared" si="91"/>
        <v>-2.3421397789017417E-3</v>
      </c>
      <c r="I208" s="147">
        <f t="shared" si="91"/>
        <v>-0.99804363477008795</v>
      </c>
      <c r="J208" s="148">
        <f t="shared" si="91"/>
        <v>-1</v>
      </c>
      <c r="K208" s="148">
        <f t="shared" si="91"/>
        <v>0</v>
      </c>
      <c r="L208" s="148">
        <f t="shared" si="91"/>
        <v>0</v>
      </c>
      <c r="M208" s="148" t="e">
        <f t="shared" si="91"/>
        <v>#REF!</v>
      </c>
      <c r="N208" s="148" t="e">
        <f t="shared" si="91"/>
        <v>#REF!</v>
      </c>
      <c r="O208" s="148" t="e">
        <f t="shared" si="91"/>
        <v>#REF!</v>
      </c>
      <c r="P208" s="148" t="e">
        <f t="shared" si="91"/>
        <v>#REF!</v>
      </c>
      <c r="Q208" s="148" t="e">
        <f t="shared" si="91"/>
        <v>#REF!</v>
      </c>
      <c r="R208" s="148" t="e">
        <f t="shared" si="91"/>
        <v>#REF!</v>
      </c>
      <c r="S208" s="148" t="e">
        <f t="shared" si="91"/>
        <v>#REF!</v>
      </c>
      <c r="T208" s="148" t="e">
        <f t="shared" si="91"/>
        <v>#REF!</v>
      </c>
      <c r="U208" s="148" t="e">
        <f t="shared" si="91"/>
        <v>#REF!</v>
      </c>
      <c r="V208" s="148" t="e">
        <f t="shared" si="91"/>
        <v>#REF!</v>
      </c>
      <c r="W208" s="148" t="e">
        <f t="shared" si="91"/>
        <v>#REF!</v>
      </c>
      <c r="X208" s="148" t="e">
        <f t="shared" si="91"/>
        <v>#REF!</v>
      </c>
      <c r="Y208" s="148" t="e">
        <f t="shared" si="91"/>
        <v>#REF!</v>
      </c>
      <c r="Z208" s="148" t="e">
        <f t="shared" si="91"/>
        <v>#REF!</v>
      </c>
      <c r="AA208" s="148" t="e">
        <f t="shared" si="91"/>
        <v>#REF!</v>
      </c>
      <c r="AB208" s="148" t="e">
        <f t="shared" si="91"/>
        <v>#REF!</v>
      </c>
      <c r="AC208" s="148" t="e">
        <f t="shared" si="91"/>
        <v>#REF!</v>
      </c>
      <c r="AD208" s="148" t="e">
        <f t="shared" si="91"/>
        <v>#REF!</v>
      </c>
      <c r="AE208" s="148" t="e">
        <f t="shared" si="91"/>
        <v>#REF!</v>
      </c>
      <c r="AF208" s="148" t="e">
        <f t="shared" si="91"/>
        <v>#REF!</v>
      </c>
      <c r="AG208" s="148" t="e">
        <f t="shared" si="91"/>
        <v>#REF!</v>
      </c>
      <c r="AH208" s="148" t="e">
        <f t="shared" si="91"/>
        <v>#REF!</v>
      </c>
      <c r="AI208" s="148" t="e">
        <f t="shared" si="91"/>
        <v>#REF!</v>
      </c>
      <c r="AJ208" s="148" t="e">
        <f t="shared" si="91"/>
        <v>#REF!</v>
      </c>
      <c r="AK208" s="148" t="e">
        <f t="shared" si="91"/>
        <v>#REF!</v>
      </c>
      <c r="AL208" s="149" t="e">
        <f t="shared" si="91"/>
        <v>#REF!</v>
      </c>
      <c r="AM208" s="128"/>
    </row>
    <row r="209" spans="1:39" customFormat="1" ht="15" outlineLevel="2">
      <c r="A209" s="309"/>
      <c r="B209" s="142"/>
      <c r="C209" s="370"/>
      <c r="D209" s="151" t="s">
        <v>33</v>
      </c>
      <c r="E209" s="321" t="s">
        <v>28</v>
      </c>
      <c r="F209" s="189">
        <f t="shared" ref="F209:AL209" si="92">+IF(F10=0,0,IF(E235&lt;&gt;0,F235/E235-1,0))</f>
        <v>-0.50859533988137051</v>
      </c>
      <c r="G209" s="189">
        <f t="shared" si="92"/>
        <v>3.7799132402293143</v>
      </c>
      <c r="H209" s="190">
        <f t="shared" si="92"/>
        <v>-0.9812121212121212</v>
      </c>
      <c r="I209" s="152">
        <f t="shared" si="92"/>
        <v>31.258064516129032</v>
      </c>
      <c r="J209" s="153">
        <f t="shared" si="92"/>
        <v>-1</v>
      </c>
      <c r="K209" s="153">
        <f t="shared" si="92"/>
        <v>0</v>
      </c>
      <c r="L209" s="153">
        <f t="shared" si="92"/>
        <v>0</v>
      </c>
      <c r="M209" s="153" t="e">
        <f t="shared" si="92"/>
        <v>#REF!</v>
      </c>
      <c r="N209" s="153" t="e">
        <f t="shared" si="92"/>
        <v>#REF!</v>
      </c>
      <c r="O209" s="153" t="e">
        <f t="shared" si="92"/>
        <v>#REF!</v>
      </c>
      <c r="P209" s="153" t="e">
        <f t="shared" si="92"/>
        <v>#REF!</v>
      </c>
      <c r="Q209" s="153" t="e">
        <f t="shared" si="92"/>
        <v>#REF!</v>
      </c>
      <c r="R209" s="153" t="e">
        <f t="shared" si="92"/>
        <v>#REF!</v>
      </c>
      <c r="S209" s="153" t="e">
        <f t="shared" si="92"/>
        <v>#REF!</v>
      </c>
      <c r="T209" s="153" t="e">
        <f t="shared" si="92"/>
        <v>#REF!</v>
      </c>
      <c r="U209" s="153" t="e">
        <f t="shared" si="92"/>
        <v>#REF!</v>
      </c>
      <c r="V209" s="153" t="e">
        <f t="shared" si="92"/>
        <v>#REF!</v>
      </c>
      <c r="W209" s="153" t="e">
        <f t="shared" si="92"/>
        <v>#REF!</v>
      </c>
      <c r="X209" s="153" t="e">
        <f t="shared" si="92"/>
        <v>#REF!</v>
      </c>
      <c r="Y209" s="153" t="e">
        <f t="shared" si="92"/>
        <v>#REF!</v>
      </c>
      <c r="Z209" s="153" t="e">
        <f t="shared" si="92"/>
        <v>#REF!</v>
      </c>
      <c r="AA209" s="153" t="e">
        <f t="shared" si="92"/>
        <v>#REF!</v>
      </c>
      <c r="AB209" s="153" t="e">
        <f t="shared" si="92"/>
        <v>#REF!</v>
      </c>
      <c r="AC209" s="153" t="e">
        <f t="shared" si="92"/>
        <v>#REF!</v>
      </c>
      <c r="AD209" s="153" t="e">
        <f t="shared" si="92"/>
        <v>#REF!</v>
      </c>
      <c r="AE209" s="153" t="e">
        <f t="shared" si="92"/>
        <v>#REF!</v>
      </c>
      <c r="AF209" s="153" t="e">
        <f t="shared" si="92"/>
        <v>#REF!</v>
      </c>
      <c r="AG209" s="153" t="e">
        <f t="shared" si="92"/>
        <v>#REF!</v>
      </c>
      <c r="AH209" s="153" t="e">
        <f t="shared" si="92"/>
        <v>#REF!</v>
      </c>
      <c r="AI209" s="153" t="e">
        <f t="shared" si="92"/>
        <v>#REF!</v>
      </c>
      <c r="AJ209" s="153" t="e">
        <f t="shared" si="92"/>
        <v>#REF!</v>
      </c>
      <c r="AK209" s="153" t="e">
        <f t="shared" si="92"/>
        <v>#REF!</v>
      </c>
      <c r="AL209" s="154" t="e">
        <f t="shared" si="92"/>
        <v>#REF!</v>
      </c>
      <c r="AM209" s="128"/>
    </row>
    <row r="210" spans="1:39" customFormat="1" outlineLevel="2">
      <c r="A210" s="309"/>
      <c r="B210" s="218"/>
      <c r="C210" s="369"/>
      <c r="D210" s="143" t="s">
        <v>19</v>
      </c>
      <c r="E210" s="318" t="s">
        <v>28</v>
      </c>
      <c r="F210" s="144">
        <f t="shared" ref="F210:AL210" si="93">+IF(F10=0,0,IF(E236&lt;&gt;0,F236/E236-1,0))</f>
        <v>-0.10551405541375325</v>
      </c>
      <c r="G210" s="144">
        <f t="shared" si="93"/>
        <v>0.27027319785876602</v>
      </c>
      <c r="H210" s="145">
        <f t="shared" si="93"/>
        <v>-5.5343608113946452E-2</v>
      </c>
      <c r="I210" s="219">
        <f t="shared" si="93"/>
        <v>2.0396814589143331E-2</v>
      </c>
      <c r="J210" s="220">
        <f t="shared" si="93"/>
        <v>-0.23000585619490643</v>
      </c>
      <c r="K210" s="220">
        <f t="shared" si="93"/>
        <v>0.1131639722863742</v>
      </c>
      <c r="L210" s="220">
        <f t="shared" si="93"/>
        <v>9.9585062240663547E-3</v>
      </c>
      <c r="M210" s="220" t="e">
        <f t="shared" si="93"/>
        <v>#REF!</v>
      </c>
      <c r="N210" s="220" t="e">
        <f t="shared" si="93"/>
        <v>#REF!</v>
      </c>
      <c r="O210" s="220" t="e">
        <f t="shared" si="93"/>
        <v>#REF!</v>
      </c>
      <c r="P210" s="220" t="e">
        <f t="shared" si="93"/>
        <v>#REF!</v>
      </c>
      <c r="Q210" s="220" t="e">
        <f t="shared" si="93"/>
        <v>#REF!</v>
      </c>
      <c r="R210" s="220" t="e">
        <f t="shared" si="93"/>
        <v>#REF!</v>
      </c>
      <c r="S210" s="220" t="e">
        <f t="shared" si="93"/>
        <v>#REF!</v>
      </c>
      <c r="T210" s="220" t="e">
        <f t="shared" si="93"/>
        <v>#REF!</v>
      </c>
      <c r="U210" s="220" t="e">
        <f t="shared" si="93"/>
        <v>#REF!</v>
      </c>
      <c r="V210" s="220" t="e">
        <f t="shared" si="93"/>
        <v>#REF!</v>
      </c>
      <c r="W210" s="220" t="e">
        <f t="shared" si="93"/>
        <v>#REF!</v>
      </c>
      <c r="X210" s="220" t="e">
        <f t="shared" si="93"/>
        <v>#REF!</v>
      </c>
      <c r="Y210" s="220" t="e">
        <f t="shared" si="93"/>
        <v>#REF!</v>
      </c>
      <c r="Z210" s="220" t="e">
        <f t="shared" si="93"/>
        <v>#REF!</v>
      </c>
      <c r="AA210" s="220" t="e">
        <f t="shared" si="93"/>
        <v>#REF!</v>
      </c>
      <c r="AB210" s="220" t="e">
        <f t="shared" si="93"/>
        <v>#REF!</v>
      </c>
      <c r="AC210" s="220" t="e">
        <f t="shared" si="93"/>
        <v>#REF!</v>
      </c>
      <c r="AD210" s="220" t="e">
        <f t="shared" si="93"/>
        <v>#REF!</v>
      </c>
      <c r="AE210" s="220" t="e">
        <f t="shared" si="93"/>
        <v>#REF!</v>
      </c>
      <c r="AF210" s="220" t="e">
        <f t="shared" si="93"/>
        <v>#REF!</v>
      </c>
      <c r="AG210" s="220" t="e">
        <f t="shared" si="93"/>
        <v>#REF!</v>
      </c>
      <c r="AH210" s="220" t="e">
        <f t="shared" si="93"/>
        <v>#REF!</v>
      </c>
      <c r="AI210" s="220" t="e">
        <f t="shared" si="93"/>
        <v>#REF!</v>
      </c>
      <c r="AJ210" s="220" t="e">
        <f t="shared" si="93"/>
        <v>#REF!</v>
      </c>
      <c r="AK210" s="220" t="e">
        <f t="shared" si="93"/>
        <v>#REF!</v>
      </c>
      <c r="AL210" s="221" t="e">
        <f t="shared" si="93"/>
        <v>#REF!</v>
      </c>
      <c r="AM210" s="222"/>
    </row>
    <row r="211" spans="1:39" customFormat="1" ht="15" outlineLevel="2">
      <c r="A211" s="309"/>
      <c r="B211" s="142"/>
      <c r="C211" s="370"/>
      <c r="D211" s="155" t="s">
        <v>315</v>
      </c>
      <c r="E211" s="320" t="s">
        <v>28</v>
      </c>
      <c r="F211" s="187">
        <f t="shared" ref="F211:AL211" si="94">+IF(F10=0,0,IF(E237&lt;&gt;0,F237/E237-1,0))</f>
        <v>-0.10771646042584171</v>
      </c>
      <c r="G211" s="187">
        <f t="shared" si="94"/>
        <v>2.5597239400375393E-2</v>
      </c>
      <c r="H211" s="188">
        <f t="shared" si="94"/>
        <v>-5.2551054910756734E-2</v>
      </c>
      <c r="I211" s="147">
        <f t="shared" si="94"/>
        <v>0.31928791228952669</v>
      </c>
      <c r="J211" s="148">
        <f t="shared" si="94"/>
        <v>-0.21541573260158065</v>
      </c>
      <c r="K211" s="148">
        <f t="shared" si="94"/>
        <v>0.1131639722863742</v>
      </c>
      <c r="L211" s="148">
        <f t="shared" si="94"/>
        <v>9.9585062240663547E-3</v>
      </c>
      <c r="M211" s="148" t="e">
        <f t="shared" si="94"/>
        <v>#REF!</v>
      </c>
      <c r="N211" s="148" t="e">
        <f t="shared" si="94"/>
        <v>#REF!</v>
      </c>
      <c r="O211" s="148" t="e">
        <f t="shared" si="94"/>
        <v>#REF!</v>
      </c>
      <c r="P211" s="148" t="e">
        <f t="shared" si="94"/>
        <v>#REF!</v>
      </c>
      <c r="Q211" s="148" t="e">
        <f t="shared" si="94"/>
        <v>#REF!</v>
      </c>
      <c r="R211" s="148" t="e">
        <f t="shared" si="94"/>
        <v>#REF!</v>
      </c>
      <c r="S211" s="148" t="e">
        <f t="shared" si="94"/>
        <v>#REF!</v>
      </c>
      <c r="T211" s="148" t="e">
        <f t="shared" si="94"/>
        <v>#REF!</v>
      </c>
      <c r="U211" s="148" t="e">
        <f t="shared" si="94"/>
        <v>#REF!</v>
      </c>
      <c r="V211" s="148" t="e">
        <f t="shared" si="94"/>
        <v>#REF!</v>
      </c>
      <c r="W211" s="148" t="e">
        <f t="shared" si="94"/>
        <v>#REF!</v>
      </c>
      <c r="X211" s="148" t="e">
        <f t="shared" si="94"/>
        <v>#REF!</v>
      </c>
      <c r="Y211" s="148" t="e">
        <f t="shared" si="94"/>
        <v>#REF!</v>
      </c>
      <c r="Z211" s="148" t="e">
        <f t="shared" si="94"/>
        <v>#REF!</v>
      </c>
      <c r="AA211" s="148" t="e">
        <f t="shared" si="94"/>
        <v>#REF!</v>
      </c>
      <c r="AB211" s="148" t="e">
        <f t="shared" si="94"/>
        <v>#REF!</v>
      </c>
      <c r="AC211" s="148" t="e">
        <f t="shared" si="94"/>
        <v>#REF!</v>
      </c>
      <c r="AD211" s="148" t="e">
        <f t="shared" si="94"/>
        <v>#REF!</v>
      </c>
      <c r="AE211" s="148" t="e">
        <f t="shared" si="94"/>
        <v>#REF!</v>
      </c>
      <c r="AF211" s="148" t="e">
        <f t="shared" si="94"/>
        <v>#REF!</v>
      </c>
      <c r="AG211" s="148" t="e">
        <f t="shared" si="94"/>
        <v>#REF!</v>
      </c>
      <c r="AH211" s="148" t="e">
        <f t="shared" si="94"/>
        <v>#REF!</v>
      </c>
      <c r="AI211" s="148" t="e">
        <f t="shared" si="94"/>
        <v>#REF!</v>
      </c>
      <c r="AJ211" s="148" t="e">
        <f t="shared" si="94"/>
        <v>#REF!</v>
      </c>
      <c r="AK211" s="148" t="e">
        <f t="shared" si="94"/>
        <v>#REF!</v>
      </c>
      <c r="AL211" s="149" t="e">
        <f t="shared" si="94"/>
        <v>#REF!</v>
      </c>
      <c r="AM211" s="128"/>
    </row>
    <row r="212" spans="1:39" customFormat="1" outlineLevel="2">
      <c r="A212" s="309"/>
      <c r="B212" s="218"/>
      <c r="C212" s="369"/>
      <c r="D212" s="156" t="s">
        <v>34</v>
      </c>
      <c r="E212" s="322" t="s">
        <v>28</v>
      </c>
      <c r="F212" s="191">
        <f t="shared" ref="F212:AL212" si="95">+IF(F10=0,0,IF(E238&lt;&gt;0,F238/E238-1,0))</f>
        <v>-1.6955873627015117E-2</v>
      </c>
      <c r="G212" s="191">
        <f t="shared" si="95"/>
        <v>9.9788776213226127E-2</v>
      </c>
      <c r="H212" s="192">
        <f t="shared" si="95"/>
        <v>-5.7733097104465392E-2</v>
      </c>
      <c r="I212" s="223">
        <f t="shared" si="95"/>
        <v>-4.2937011277136561E-3</v>
      </c>
      <c r="J212" s="224">
        <f t="shared" si="95"/>
        <v>-2.1837266837468339E-2</v>
      </c>
      <c r="K212" s="224">
        <f t="shared" si="95"/>
        <v>2.4945295404813939E-2</v>
      </c>
      <c r="L212" s="224">
        <f t="shared" si="95"/>
        <v>2.4765157984628416E-2</v>
      </c>
      <c r="M212" s="224" t="e">
        <f t="shared" si="95"/>
        <v>#REF!</v>
      </c>
      <c r="N212" s="224" t="e">
        <f t="shared" si="95"/>
        <v>#REF!</v>
      </c>
      <c r="O212" s="224" t="e">
        <f t="shared" si="95"/>
        <v>#REF!</v>
      </c>
      <c r="P212" s="224" t="e">
        <f t="shared" si="95"/>
        <v>#REF!</v>
      </c>
      <c r="Q212" s="224" t="e">
        <f t="shared" si="95"/>
        <v>#REF!</v>
      </c>
      <c r="R212" s="224" t="e">
        <f t="shared" si="95"/>
        <v>#REF!</v>
      </c>
      <c r="S212" s="224" t="e">
        <f t="shared" si="95"/>
        <v>#REF!</v>
      </c>
      <c r="T212" s="224" t="e">
        <f t="shared" si="95"/>
        <v>#REF!</v>
      </c>
      <c r="U212" s="224" t="e">
        <f t="shared" si="95"/>
        <v>#REF!</v>
      </c>
      <c r="V212" s="224" t="e">
        <f t="shared" si="95"/>
        <v>#REF!</v>
      </c>
      <c r="W212" s="224" t="e">
        <f t="shared" si="95"/>
        <v>#REF!</v>
      </c>
      <c r="X212" s="224" t="e">
        <f t="shared" si="95"/>
        <v>#REF!</v>
      </c>
      <c r="Y212" s="224" t="e">
        <f t="shared" si="95"/>
        <v>#REF!</v>
      </c>
      <c r="Z212" s="224" t="e">
        <f t="shared" si="95"/>
        <v>#REF!</v>
      </c>
      <c r="AA212" s="224" t="e">
        <f t="shared" si="95"/>
        <v>#REF!</v>
      </c>
      <c r="AB212" s="224" t="e">
        <f t="shared" si="95"/>
        <v>#REF!</v>
      </c>
      <c r="AC212" s="224" t="e">
        <f t="shared" si="95"/>
        <v>#REF!</v>
      </c>
      <c r="AD212" s="224" t="e">
        <f t="shared" si="95"/>
        <v>#REF!</v>
      </c>
      <c r="AE212" s="224" t="e">
        <f t="shared" si="95"/>
        <v>#REF!</v>
      </c>
      <c r="AF212" s="224" t="e">
        <f t="shared" si="95"/>
        <v>#REF!</v>
      </c>
      <c r="AG212" s="224" t="e">
        <f t="shared" si="95"/>
        <v>#REF!</v>
      </c>
      <c r="AH212" s="224" t="e">
        <f t="shared" si="95"/>
        <v>#REF!</v>
      </c>
      <c r="AI212" s="224" t="e">
        <f t="shared" si="95"/>
        <v>#REF!</v>
      </c>
      <c r="AJ212" s="224" t="e">
        <f t="shared" si="95"/>
        <v>#REF!</v>
      </c>
      <c r="AK212" s="224" t="e">
        <f t="shared" si="95"/>
        <v>#REF!</v>
      </c>
      <c r="AL212" s="225" t="e">
        <f t="shared" si="95"/>
        <v>#REF!</v>
      </c>
      <c r="AM212" s="222"/>
    </row>
    <row r="213" spans="1:39" customFormat="1" ht="15" outlineLevel="2">
      <c r="A213" s="309"/>
      <c r="B213" s="142"/>
      <c r="C213" s="370"/>
      <c r="D213" s="150" t="s">
        <v>36</v>
      </c>
      <c r="E213" s="320" t="s">
        <v>28</v>
      </c>
      <c r="F213" s="187">
        <f t="shared" ref="F213:AL213" si="96">+IF(F10=0,0,IF(E239&lt;&gt;0,F239/E239-1,0))</f>
        <v>-2.089427029079971E-2</v>
      </c>
      <c r="G213" s="187">
        <f t="shared" si="96"/>
        <v>0.1028682062990478</v>
      </c>
      <c r="H213" s="188">
        <f t="shared" si="96"/>
        <v>-5.7946236817214225E-2</v>
      </c>
      <c r="I213" s="147">
        <f t="shared" si="96"/>
        <v>-1.761860742591026E-2</v>
      </c>
      <c r="J213" s="148">
        <f t="shared" si="96"/>
        <v>6.3180245867957563E-3</v>
      </c>
      <c r="K213" s="148">
        <f t="shared" si="96"/>
        <v>2.4945295404813939E-2</v>
      </c>
      <c r="L213" s="148">
        <f t="shared" si="96"/>
        <v>2.4765157984628416E-2</v>
      </c>
      <c r="M213" s="148" t="e">
        <f t="shared" si="96"/>
        <v>#REF!</v>
      </c>
      <c r="N213" s="148" t="e">
        <f t="shared" si="96"/>
        <v>#REF!</v>
      </c>
      <c r="O213" s="148" t="e">
        <f t="shared" si="96"/>
        <v>#REF!</v>
      </c>
      <c r="P213" s="148" t="e">
        <f t="shared" si="96"/>
        <v>#REF!</v>
      </c>
      <c r="Q213" s="148" t="e">
        <f t="shared" si="96"/>
        <v>#REF!</v>
      </c>
      <c r="R213" s="148" t="e">
        <f t="shared" si="96"/>
        <v>#REF!</v>
      </c>
      <c r="S213" s="148" t="e">
        <f t="shared" si="96"/>
        <v>#REF!</v>
      </c>
      <c r="T213" s="148" t="e">
        <f t="shared" si="96"/>
        <v>#REF!</v>
      </c>
      <c r="U213" s="148" t="e">
        <f t="shared" si="96"/>
        <v>#REF!</v>
      </c>
      <c r="V213" s="148" t="e">
        <f t="shared" si="96"/>
        <v>#REF!</v>
      </c>
      <c r="W213" s="148" t="e">
        <f t="shared" si="96"/>
        <v>#REF!</v>
      </c>
      <c r="X213" s="148" t="e">
        <f t="shared" si="96"/>
        <v>#REF!</v>
      </c>
      <c r="Y213" s="148" t="e">
        <f t="shared" si="96"/>
        <v>#REF!</v>
      </c>
      <c r="Z213" s="148" t="e">
        <f t="shared" si="96"/>
        <v>#REF!</v>
      </c>
      <c r="AA213" s="148" t="e">
        <f t="shared" si="96"/>
        <v>#REF!</v>
      </c>
      <c r="AB213" s="148" t="e">
        <f t="shared" si="96"/>
        <v>#REF!</v>
      </c>
      <c r="AC213" s="148" t="e">
        <f t="shared" si="96"/>
        <v>#REF!</v>
      </c>
      <c r="AD213" s="148" t="e">
        <f t="shared" si="96"/>
        <v>#REF!</v>
      </c>
      <c r="AE213" s="148" t="e">
        <f t="shared" si="96"/>
        <v>#REF!</v>
      </c>
      <c r="AF213" s="148" t="e">
        <f t="shared" si="96"/>
        <v>#REF!</v>
      </c>
      <c r="AG213" s="148" t="e">
        <f t="shared" si="96"/>
        <v>#REF!</v>
      </c>
      <c r="AH213" s="148" t="e">
        <f t="shared" si="96"/>
        <v>#REF!</v>
      </c>
      <c r="AI213" s="148" t="e">
        <f t="shared" si="96"/>
        <v>#REF!</v>
      </c>
      <c r="AJ213" s="148" t="e">
        <f t="shared" si="96"/>
        <v>#REF!</v>
      </c>
      <c r="AK213" s="148" t="e">
        <f t="shared" si="96"/>
        <v>#REF!</v>
      </c>
      <c r="AL213" s="149" t="e">
        <f t="shared" si="96"/>
        <v>#REF!</v>
      </c>
      <c r="AM213" s="128"/>
    </row>
    <row r="214" spans="1:39" customFormat="1" ht="15" outlineLevel="2">
      <c r="A214" s="309"/>
      <c r="B214" s="142"/>
      <c r="C214" s="370"/>
      <c r="D214" s="150" t="s">
        <v>35</v>
      </c>
      <c r="E214" s="320" t="s">
        <v>28</v>
      </c>
      <c r="F214" s="187">
        <f t="shared" ref="F214:AL214" si="97">+IF(F10=0,0,IF(E240&lt;&gt;0,F240/E240-1,0))</f>
        <v>-6.0726135609805998E-2</v>
      </c>
      <c r="G214" s="187">
        <f t="shared" si="97"/>
        <v>5.6339006936904079E-2</v>
      </c>
      <c r="H214" s="188">
        <f t="shared" si="97"/>
        <v>-5.8380843540325689E-2</v>
      </c>
      <c r="I214" s="147">
        <f t="shared" si="97"/>
        <v>1.8548990935041587E-2</v>
      </c>
      <c r="J214" s="148">
        <f t="shared" si="97"/>
        <v>1.0656006322382394E-2</v>
      </c>
      <c r="K214" s="148">
        <f t="shared" si="97"/>
        <v>2.4983084735524796E-2</v>
      </c>
      <c r="L214" s="148">
        <f t="shared" si="97"/>
        <v>2.4999999999999911E-2</v>
      </c>
      <c r="M214" s="148" t="e">
        <f t="shared" si="97"/>
        <v>#REF!</v>
      </c>
      <c r="N214" s="148" t="e">
        <f t="shared" si="97"/>
        <v>#REF!</v>
      </c>
      <c r="O214" s="148" t="e">
        <f t="shared" si="97"/>
        <v>#REF!</v>
      </c>
      <c r="P214" s="148" t="e">
        <f t="shared" si="97"/>
        <v>#REF!</v>
      </c>
      <c r="Q214" s="148" t="e">
        <f t="shared" si="97"/>
        <v>#REF!</v>
      </c>
      <c r="R214" s="148" t="e">
        <f t="shared" si="97"/>
        <v>#REF!</v>
      </c>
      <c r="S214" s="148" t="e">
        <f t="shared" si="97"/>
        <v>#REF!</v>
      </c>
      <c r="T214" s="148" t="e">
        <f t="shared" si="97"/>
        <v>#REF!</v>
      </c>
      <c r="U214" s="148" t="e">
        <f t="shared" si="97"/>
        <v>#REF!</v>
      </c>
      <c r="V214" s="148" t="e">
        <f t="shared" si="97"/>
        <v>#REF!</v>
      </c>
      <c r="W214" s="148" t="e">
        <f t="shared" si="97"/>
        <v>#REF!</v>
      </c>
      <c r="X214" s="148" t="e">
        <f t="shared" si="97"/>
        <v>#REF!</v>
      </c>
      <c r="Y214" s="148" t="e">
        <f t="shared" si="97"/>
        <v>#REF!</v>
      </c>
      <c r="Z214" s="148" t="e">
        <f t="shared" si="97"/>
        <v>#REF!</v>
      </c>
      <c r="AA214" s="148" t="e">
        <f t="shared" si="97"/>
        <v>#REF!</v>
      </c>
      <c r="AB214" s="148" t="e">
        <f t="shared" si="97"/>
        <v>#REF!</v>
      </c>
      <c r="AC214" s="148" t="e">
        <f t="shared" si="97"/>
        <v>#REF!</v>
      </c>
      <c r="AD214" s="148" t="e">
        <f t="shared" si="97"/>
        <v>#REF!</v>
      </c>
      <c r="AE214" s="148" t="e">
        <f t="shared" si="97"/>
        <v>#REF!</v>
      </c>
      <c r="AF214" s="148" t="e">
        <f t="shared" si="97"/>
        <v>#REF!</v>
      </c>
      <c r="AG214" s="148" t="e">
        <f t="shared" si="97"/>
        <v>#REF!</v>
      </c>
      <c r="AH214" s="148" t="e">
        <f t="shared" si="97"/>
        <v>#REF!</v>
      </c>
      <c r="AI214" s="148" t="e">
        <f t="shared" si="97"/>
        <v>#REF!</v>
      </c>
      <c r="AJ214" s="148" t="e">
        <f t="shared" si="97"/>
        <v>#REF!</v>
      </c>
      <c r="AK214" s="148" t="e">
        <f t="shared" si="97"/>
        <v>#REF!</v>
      </c>
      <c r="AL214" s="149" t="e">
        <f t="shared" si="97"/>
        <v>#REF!</v>
      </c>
      <c r="AM214" s="128"/>
    </row>
    <row r="215" spans="1:39" customFormat="1" ht="24" outlineLevel="2">
      <c r="A215" s="309"/>
      <c r="B215" s="142"/>
      <c r="C215" s="370"/>
      <c r="D215" s="151" t="s">
        <v>314</v>
      </c>
      <c r="E215" s="323" t="s">
        <v>28</v>
      </c>
      <c r="F215" s="193">
        <f t="shared" ref="F215:AL215" si="98">+IF(F10=0,0,IF(E241&lt;&gt;0,F241/E241-1,0))</f>
        <v>8.5141354601001584E-3</v>
      </c>
      <c r="G215" s="193">
        <f t="shared" si="98"/>
        <v>0.18025594224546926</v>
      </c>
      <c r="H215" s="194">
        <f t="shared" si="98"/>
        <v>-2.8060104493559002E-2</v>
      </c>
      <c r="I215" s="157">
        <f t="shared" si="98"/>
        <v>-8.1187204265253388E-2</v>
      </c>
      <c r="J215" s="158">
        <f t="shared" si="98"/>
        <v>-5.1575655279570531E-2</v>
      </c>
      <c r="K215" s="158">
        <f t="shared" si="98"/>
        <v>2.4872667303702301E-2</v>
      </c>
      <c r="L215" s="158">
        <f t="shared" si="98"/>
        <v>2.4364882154833234E-2</v>
      </c>
      <c r="M215" s="158" t="e">
        <f t="shared" si="98"/>
        <v>#REF!</v>
      </c>
      <c r="N215" s="158" t="e">
        <f t="shared" si="98"/>
        <v>#REF!</v>
      </c>
      <c r="O215" s="158" t="e">
        <f t="shared" si="98"/>
        <v>#REF!</v>
      </c>
      <c r="P215" s="158" t="e">
        <f t="shared" si="98"/>
        <v>#REF!</v>
      </c>
      <c r="Q215" s="158" t="e">
        <f t="shared" si="98"/>
        <v>#REF!</v>
      </c>
      <c r="R215" s="158" t="e">
        <f t="shared" si="98"/>
        <v>#REF!</v>
      </c>
      <c r="S215" s="158" t="e">
        <f t="shared" si="98"/>
        <v>#REF!</v>
      </c>
      <c r="T215" s="158" t="e">
        <f t="shared" si="98"/>
        <v>#REF!</v>
      </c>
      <c r="U215" s="158" t="e">
        <f t="shared" si="98"/>
        <v>#REF!</v>
      </c>
      <c r="V215" s="158" t="e">
        <f t="shared" si="98"/>
        <v>#REF!</v>
      </c>
      <c r="W215" s="158" t="e">
        <f t="shared" si="98"/>
        <v>#REF!</v>
      </c>
      <c r="X215" s="158" t="e">
        <f t="shared" si="98"/>
        <v>#REF!</v>
      </c>
      <c r="Y215" s="158" t="e">
        <f t="shared" si="98"/>
        <v>#REF!</v>
      </c>
      <c r="Z215" s="158" t="e">
        <f t="shared" si="98"/>
        <v>#REF!</v>
      </c>
      <c r="AA215" s="158" t="e">
        <f t="shared" si="98"/>
        <v>#REF!</v>
      </c>
      <c r="AB215" s="158" t="e">
        <f t="shared" si="98"/>
        <v>#REF!</v>
      </c>
      <c r="AC215" s="158" t="e">
        <f t="shared" si="98"/>
        <v>#REF!</v>
      </c>
      <c r="AD215" s="158" t="e">
        <f t="shared" si="98"/>
        <v>#REF!</v>
      </c>
      <c r="AE215" s="158" t="e">
        <f t="shared" si="98"/>
        <v>#REF!</v>
      </c>
      <c r="AF215" s="158" t="e">
        <f t="shared" si="98"/>
        <v>#REF!</v>
      </c>
      <c r="AG215" s="158" t="e">
        <f t="shared" si="98"/>
        <v>#REF!</v>
      </c>
      <c r="AH215" s="158" t="e">
        <f t="shared" si="98"/>
        <v>#REF!</v>
      </c>
      <c r="AI215" s="158" t="e">
        <f t="shared" si="98"/>
        <v>#REF!</v>
      </c>
      <c r="AJ215" s="158" t="e">
        <f t="shared" si="98"/>
        <v>#REF!</v>
      </c>
      <c r="AK215" s="158" t="e">
        <f t="shared" si="98"/>
        <v>#REF!</v>
      </c>
      <c r="AL215" s="159" t="e">
        <f t="shared" si="98"/>
        <v>#REF!</v>
      </c>
      <c r="AM215" s="128"/>
    </row>
    <row r="216" spans="1:39" customFormat="1" ht="24" outlineLevel="1">
      <c r="A216" s="309"/>
      <c r="B216" s="142"/>
      <c r="C216" s="370"/>
      <c r="D216" s="246" t="s">
        <v>337</v>
      </c>
      <c r="E216" s="160"/>
      <c r="F216" s="160"/>
      <c r="G216" s="342" t="s">
        <v>350</v>
      </c>
      <c r="H216" s="342" t="s">
        <v>349</v>
      </c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28"/>
    </row>
    <row r="217" spans="1:39" customFormat="1" outlineLevel="2">
      <c r="A217" s="309"/>
      <c r="B217" s="218"/>
      <c r="C217" s="369"/>
      <c r="D217" s="143" t="s">
        <v>24</v>
      </c>
      <c r="E217" s="324" t="s">
        <v>28</v>
      </c>
      <c r="F217" s="205">
        <f t="shared" ref="F217:AL222" si="99">+IF(F$230=0,"",F230-E230)</f>
        <v>2326334.59</v>
      </c>
      <c r="G217" s="205">
        <f t="shared" si="99"/>
        <v>-590633.73000000045</v>
      </c>
      <c r="H217" s="206">
        <f t="shared" si="99"/>
        <v>-763113.8200000003</v>
      </c>
      <c r="I217" s="226">
        <f t="shared" si="99"/>
        <v>1379893.0700000003</v>
      </c>
      <c r="J217" s="227">
        <f t="shared" si="99"/>
        <v>-3263173.67</v>
      </c>
      <c r="K217" s="227">
        <f t="shared" si="99"/>
        <v>1225000</v>
      </c>
      <c r="L217" s="227">
        <f t="shared" si="99"/>
        <v>120000</v>
      </c>
      <c r="M217" s="227" t="e">
        <f t="shared" si="99"/>
        <v>#REF!</v>
      </c>
      <c r="N217" s="227" t="e">
        <f t="shared" si="99"/>
        <v>#REF!</v>
      </c>
      <c r="O217" s="227" t="e">
        <f t="shared" si="99"/>
        <v>#REF!</v>
      </c>
      <c r="P217" s="227" t="e">
        <f t="shared" si="99"/>
        <v>#REF!</v>
      </c>
      <c r="Q217" s="227" t="e">
        <f t="shared" si="99"/>
        <v>#REF!</v>
      </c>
      <c r="R217" s="227" t="e">
        <f t="shared" si="99"/>
        <v>#REF!</v>
      </c>
      <c r="S217" s="227" t="e">
        <f t="shared" si="99"/>
        <v>#REF!</v>
      </c>
      <c r="T217" s="227" t="e">
        <f t="shared" si="99"/>
        <v>#REF!</v>
      </c>
      <c r="U217" s="227" t="e">
        <f t="shared" si="99"/>
        <v>#REF!</v>
      </c>
      <c r="V217" s="227" t="e">
        <f t="shared" si="99"/>
        <v>#REF!</v>
      </c>
      <c r="W217" s="227" t="e">
        <f t="shared" si="99"/>
        <v>#REF!</v>
      </c>
      <c r="X217" s="227" t="e">
        <f t="shared" si="99"/>
        <v>#REF!</v>
      </c>
      <c r="Y217" s="227" t="e">
        <f t="shared" si="99"/>
        <v>#REF!</v>
      </c>
      <c r="Z217" s="227" t="e">
        <f t="shared" si="99"/>
        <v>#REF!</v>
      </c>
      <c r="AA217" s="227" t="e">
        <f t="shared" si="99"/>
        <v>#REF!</v>
      </c>
      <c r="AB217" s="227" t="e">
        <f t="shared" si="99"/>
        <v>#REF!</v>
      </c>
      <c r="AC217" s="227" t="e">
        <f t="shared" si="99"/>
        <v>#REF!</v>
      </c>
      <c r="AD217" s="227" t="e">
        <f t="shared" si="99"/>
        <v>#REF!</v>
      </c>
      <c r="AE217" s="227" t="e">
        <f t="shared" si="99"/>
        <v>#REF!</v>
      </c>
      <c r="AF217" s="227" t="e">
        <f t="shared" si="99"/>
        <v>#REF!</v>
      </c>
      <c r="AG217" s="227" t="e">
        <f t="shared" si="99"/>
        <v>#REF!</v>
      </c>
      <c r="AH217" s="227" t="e">
        <f t="shared" si="99"/>
        <v>#REF!</v>
      </c>
      <c r="AI217" s="227" t="e">
        <f t="shared" si="99"/>
        <v>#REF!</v>
      </c>
      <c r="AJ217" s="227" t="e">
        <f t="shared" si="99"/>
        <v>#REF!</v>
      </c>
      <c r="AK217" s="227" t="e">
        <f t="shared" si="99"/>
        <v>#REF!</v>
      </c>
      <c r="AL217" s="228" t="e">
        <f t="shared" si="99"/>
        <v>#REF!</v>
      </c>
      <c r="AM217" s="222"/>
    </row>
    <row r="218" spans="1:39" customFormat="1" ht="15" outlineLevel="2">
      <c r="A218" s="309"/>
      <c r="B218" s="142"/>
      <c r="C218" s="370"/>
      <c r="D218" s="146" t="s">
        <v>316</v>
      </c>
      <c r="E218" s="325" t="s">
        <v>28</v>
      </c>
      <c r="F218" s="210">
        <f t="shared" si="99"/>
        <v>2279241.8800000008</v>
      </c>
      <c r="G218" s="210">
        <f t="shared" si="99"/>
        <v>71559.059999998659</v>
      </c>
      <c r="H218" s="211">
        <f t="shared" si="99"/>
        <v>-815899.36999999918</v>
      </c>
      <c r="I218" s="165">
        <f t="shared" si="99"/>
        <v>-477115.08000000007</v>
      </c>
      <c r="J218" s="166">
        <f t="shared" si="99"/>
        <v>-822337</v>
      </c>
      <c r="K218" s="166">
        <f t="shared" si="99"/>
        <v>1225000</v>
      </c>
      <c r="L218" s="166">
        <f t="shared" si="99"/>
        <v>120000</v>
      </c>
      <c r="M218" s="166" t="e">
        <f t="shared" si="99"/>
        <v>#REF!</v>
      </c>
      <c r="N218" s="166" t="e">
        <f t="shared" si="99"/>
        <v>#REF!</v>
      </c>
      <c r="O218" s="166" t="e">
        <f t="shared" si="99"/>
        <v>#REF!</v>
      </c>
      <c r="P218" s="166" t="e">
        <f t="shared" si="99"/>
        <v>#REF!</v>
      </c>
      <c r="Q218" s="166" t="e">
        <f t="shared" si="99"/>
        <v>#REF!</v>
      </c>
      <c r="R218" s="166" t="e">
        <f t="shared" si="99"/>
        <v>#REF!</v>
      </c>
      <c r="S218" s="166" t="e">
        <f t="shared" si="99"/>
        <v>#REF!</v>
      </c>
      <c r="T218" s="166" t="e">
        <f t="shared" si="99"/>
        <v>#REF!</v>
      </c>
      <c r="U218" s="166" t="e">
        <f t="shared" si="99"/>
        <v>#REF!</v>
      </c>
      <c r="V218" s="166" t="e">
        <f t="shared" si="99"/>
        <v>#REF!</v>
      </c>
      <c r="W218" s="166" t="e">
        <f t="shared" si="99"/>
        <v>#REF!</v>
      </c>
      <c r="X218" s="166" t="e">
        <f t="shared" si="99"/>
        <v>#REF!</v>
      </c>
      <c r="Y218" s="166" t="e">
        <f t="shared" si="99"/>
        <v>#REF!</v>
      </c>
      <c r="Z218" s="166" t="e">
        <f t="shared" si="99"/>
        <v>#REF!</v>
      </c>
      <c r="AA218" s="166" t="e">
        <f t="shared" si="99"/>
        <v>#REF!</v>
      </c>
      <c r="AB218" s="166" t="e">
        <f t="shared" si="99"/>
        <v>#REF!</v>
      </c>
      <c r="AC218" s="166" t="e">
        <f t="shared" si="99"/>
        <v>#REF!</v>
      </c>
      <c r="AD218" s="166" t="e">
        <f t="shared" si="99"/>
        <v>#REF!</v>
      </c>
      <c r="AE218" s="166" t="e">
        <f t="shared" si="99"/>
        <v>#REF!</v>
      </c>
      <c r="AF218" s="166" t="e">
        <f t="shared" si="99"/>
        <v>#REF!</v>
      </c>
      <c r="AG218" s="166" t="e">
        <f t="shared" si="99"/>
        <v>#REF!</v>
      </c>
      <c r="AH218" s="166" t="e">
        <f t="shared" si="99"/>
        <v>#REF!</v>
      </c>
      <c r="AI218" s="166" t="e">
        <f t="shared" si="99"/>
        <v>#REF!</v>
      </c>
      <c r="AJ218" s="166" t="e">
        <f t="shared" si="99"/>
        <v>#REF!</v>
      </c>
      <c r="AK218" s="166" t="e">
        <f t="shared" si="99"/>
        <v>#REF!</v>
      </c>
      <c r="AL218" s="167" t="e">
        <f t="shared" si="99"/>
        <v>#REF!</v>
      </c>
      <c r="AM218" s="128"/>
    </row>
    <row r="219" spans="1:39" customFormat="1" ht="15" outlineLevel="2">
      <c r="A219" s="309"/>
      <c r="B219" s="142"/>
      <c r="C219" s="370"/>
      <c r="D219" s="150" t="s">
        <v>317</v>
      </c>
      <c r="E219" s="326" t="s">
        <v>28</v>
      </c>
      <c r="F219" s="212">
        <f t="shared" si="99"/>
        <v>2397495.959999999</v>
      </c>
      <c r="G219" s="212">
        <f t="shared" si="99"/>
        <v>-126278.02999999933</v>
      </c>
      <c r="H219" s="213">
        <f t="shared" si="99"/>
        <v>-491499.36999999918</v>
      </c>
      <c r="I219" s="165">
        <f t="shared" si="99"/>
        <v>-415839.08000000007</v>
      </c>
      <c r="J219" s="166">
        <f t="shared" si="99"/>
        <v>-621837</v>
      </c>
      <c r="K219" s="166">
        <f t="shared" si="99"/>
        <v>1225000</v>
      </c>
      <c r="L219" s="166">
        <f t="shared" si="99"/>
        <v>120000</v>
      </c>
      <c r="M219" s="166" t="e">
        <f t="shared" si="99"/>
        <v>#REF!</v>
      </c>
      <c r="N219" s="166" t="e">
        <f t="shared" si="99"/>
        <v>#REF!</v>
      </c>
      <c r="O219" s="166" t="e">
        <f t="shared" si="99"/>
        <v>#REF!</v>
      </c>
      <c r="P219" s="166" t="e">
        <f t="shared" si="99"/>
        <v>#REF!</v>
      </c>
      <c r="Q219" s="166" t="e">
        <f t="shared" si="99"/>
        <v>#REF!</v>
      </c>
      <c r="R219" s="166" t="e">
        <f t="shared" si="99"/>
        <v>#REF!</v>
      </c>
      <c r="S219" s="166" t="e">
        <f t="shared" si="99"/>
        <v>#REF!</v>
      </c>
      <c r="T219" s="166" t="e">
        <f t="shared" si="99"/>
        <v>#REF!</v>
      </c>
      <c r="U219" s="166" t="e">
        <f t="shared" si="99"/>
        <v>#REF!</v>
      </c>
      <c r="V219" s="166" t="e">
        <f t="shared" si="99"/>
        <v>#REF!</v>
      </c>
      <c r="W219" s="166" t="e">
        <f t="shared" si="99"/>
        <v>#REF!</v>
      </c>
      <c r="X219" s="166" t="e">
        <f t="shared" si="99"/>
        <v>#REF!</v>
      </c>
      <c r="Y219" s="166" t="e">
        <f t="shared" si="99"/>
        <v>#REF!</v>
      </c>
      <c r="Z219" s="166" t="e">
        <f t="shared" si="99"/>
        <v>#REF!</v>
      </c>
      <c r="AA219" s="166" t="e">
        <f t="shared" si="99"/>
        <v>#REF!</v>
      </c>
      <c r="AB219" s="166" t="e">
        <f t="shared" si="99"/>
        <v>#REF!</v>
      </c>
      <c r="AC219" s="166" t="e">
        <f t="shared" si="99"/>
        <v>#REF!</v>
      </c>
      <c r="AD219" s="166" t="e">
        <f t="shared" si="99"/>
        <v>#REF!</v>
      </c>
      <c r="AE219" s="166" t="e">
        <f t="shared" si="99"/>
        <v>#REF!</v>
      </c>
      <c r="AF219" s="166" t="e">
        <f t="shared" si="99"/>
        <v>#REF!</v>
      </c>
      <c r="AG219" s="166" t="e">
        <f t="shared" si="99"/>
        <v>#REF!</v>
      </c>
      <c r="AH219" s="166" t="e">
        <f t="shared" si="99"/>
        <v>#REF!</v>
      </c>
      <c r="AI219" s="166" t="e">
        <f t="shared" si="99"/>
        <v>#REF!</v>
      </c>
      <c r="AJ219" s="166" t="e">
        <f t="shared" si="99"/>
        <v>#REF!</v>
      </c>
      <c r="AK219" s="166" t="e">
        <f t="shared" si="99"/>
        <v>#REF!</v>
      </c>
      <c r="AL219" s="167" t="e">
        <f t="shared" si="99"/>
        <v>#REF!</v>
      </c>
      <c r="AM219" s="128"/>
    </row>
    <row r="220" spans="1:39" customFormat="1" ht="15" outlineLevel="2">
      <c r="A220" s="309"/>
      <c r="B220" s="142"/>
      <c r="C220" s="370"/>
      <c r="D220" s="150" t="s">
        <v>318</v>
      </c>
      <c r="E220" s="326" t="s">
        <v>28</v>
      </c>
      <c r="F220" s="212">
        <f t="shared" si="99"/>
        <v>-118254.07999999984</v>
      </c>
      <c r="G220" s="212">
        <f t="shared" si="99"/>
        <v>197837.08999999985</v>
      </c>
      <c r="H220" s="213">
        <f t="shared" si="99"/>
        <v>-324399.99999999994</v>
      </c>
      <c r="I220" s="165">
        <f t="shared" si="99"/>
        <v>-61276.000000000058</v>
      </c>
      <c r="J220" s="166">
        <f t="shared" si="99"/>
        <v>-200500</v>
      </c>
      <c r="K220" s="166">
        <f t="shared" si="99"/>
        <v>0</v>
      </c>
      <c r="L220" s="166">
        <f t="shared" si="99"/>
        <v>0</v>
      </c>
      <c r="M220" s="166" t="e">
        <f t="shared" si="99"/>
        <v>#REF!</v>
      </c>
      <c r="N220" s="166" t="e">
        <f t="shared" si="99"/>
        <v>#REF!</v>
      </c>
      <c r="O220" s="166" t="e">
        <f t="shared" si="99"/>
        <v>#REF!</v>
      </c>
      <c r="P220" s="166" t="e">
        <f t="shared" si="99"/>
        <v>#REF!</v>
      </c>
      <c r="Q220" s="166" t="e">
        <f t="shared" si="99"/>
        <v>#REF!</v>
      </c>
      <c r="R220" s="166" t="e">
        <f t="shared" si="99"/>
        <v>#REF!</v>
      </c>
      <c r="S220" s="166" t="e">
        <f t="shared" si="99"/>
        <v>#REF!</v>
      </c>
      <c r="T220" s="166" t="e">
        <f t="shared" si="99"/>
        <v>#REF!</v>
      </c>
      <c r="U220" s="166" t="e">
        <f t="shared" si="99"/>
        <v>#REF!</v>
      </c>
      <c r="V220" s="166" t="e">
        <f t="shared" si="99"/>
        <v>#REF!</v>
      </c>
      <c r="W220" s="166" t="e">
        <f t="shared" si="99"/>
        <v>#REF!</v>
      </c>
      <c r="X220" s="166" t="e">
        <f t="shared" si="99"/>
        <v>#REF!</v>
      </c>
      <c r="Y220" s="166" t="e">
        <f t="shared" si="99"/>
        <v>#REF!</v>
      </c>
      <c r="Z220" s="166" t="e">
        <f t="shared" si="99"/>
        <v>#REF!</v>
      </c>
      <c r="AA220" s="166" t="e">
        <f t="shared" si="99"/>
        <v>#REF!</v>
      </c>
      <c r="AB220" s="166" t="e">
        <f t="shared" si="99"/>
        <v>#REF!</v>
      </c>
      <c r="AC220" s="166" t="e">
        <f t="shared" si="99"/>
        <v>#REF!</v>
      </c>
      <c r="AD220" s="166" t="e">
        <f t="shared" si="99"/>
        <v>#REF!</v>
      </c>
      <c r="AE220" s="166" t="e">
        <f t="shared" si="99"/>
        <v>#REF!</v>
      </c>
      <c r="AF220" s="166" t="e">
        <f t="shared" si="99"/>
        <v>#REF!</v>
      </c>
      <c r="AG220" s="166" t="e">
        <f t="shared" si="99"/>
        <v>#REF!</v>
      </c>
      <c r="AH220" s="166" t="e">
        <f t="shared" si="99"/>
        <v>#REF!</v>
      </c>
      <c r="AI220" s="166" t="e">
        <f t="shared" si="99"/>
        <v>#REF!</v>
      </c>
      <c r="AJ220" s="166" t="e">
        <f t="shared" si="99"/>
        <v>#REF!</v>
      </c>
      <c r="AK220" s="166" t="e">
        <f t="shared" si="99"/>
        <v>#REF!</v>
      </c>
      <c r="AL220" s="167" t="e">
        <f t="shared" si="99"/>
        <v>#REF!</v>
      </c>
      <c r="AM220" s="128"/>
    </row>
    <row r="221" spans="1:39" customFormat="1" ht="24" outlineLevel="2">
      <c r="A221" s="309"/>
      <c r="B221" s="142"/>
      <c r="C221" s="370"/>
      <c r="D221" s="150" t="s">
        <v>319</v>
      </c>
      <c r="E221" s="326" t="s">
        <v>28</v>
      </c>
      <c r="F221" s="212">
        <f t="shared" si="99"/>
        <v>-46799.999999999884</v>
      </c>
      <c r="G221" s="212">
        <f t="shared" si="99"/>
        <v>-63124.000000000116</v>
      </c>
      <c r="H221" s="213">
        <f t="shared" si="99"/>
        <v>-599.99999999994179</v>
      </c>
      <c r="I221" s="165">
        <f t="shared" si="99"/>
        <v>-255076.00000000006</v>
      </c>
      <c r="J221" s="166">
        <f t="shared" si="99"/>
        <v>-500</v>
      </c>
      <c r="K221" s="166">
        <f t="shared" si="99"/>
        <v>0</v>
      </c>
      <c r="L221" s="166">
        <f t="shared" si="99"/>
        <v>0</v>
      </c>
      <c r="M221" s="166" t="e">
        <f t="shared" si="99"/>
        <v>#REF!</v>
      </c>
      <c r="N221" s="166" t="e">
        <f t="shared" si="99"/>
        <v>#REF!</v>
      </c>
      <c r="O221" s="166" t="e">
        <f t="shared" si="99"/>
        <v>#REF!</v>
      </c>
      <c r="P221" s="166" t="e">
        <f t="shared" si="99"/>
        <v>#REF!</v>
      </c>
      <c r="Q221" s="166" t="e">
        <f t="shared" si="99"/>
        <v>#REF!</v>
      </c>
      <c r="R221" s="166" t="e">
        <f t="shared" si="99"/>
        <v>#REF!</v>
      </c>
      <c r="S221" s="166" t="e">
        <f t="shared" si="99"/>
        <v>#REF!</v>
      </c>
      <c r="T221" s="166" t="e">
        <f t="shared" si="99"/>
        <v>#REF!</v>
      </c>
      <c r="U221" s="166" t="e">
        <f t="shared" si="99"/>
        <v>#REF!</v>
      </c>
      <c r="V221" s="166" t="e">
        <f t="shared" si="99"/>
        <v>#REF!</v>
      </c>
      <c r="W221" s="166" t="e">
        <f t="shared" si="99"/>
        <v>#REF!</v>
      </c>
      <c r="X221" s="166" t="e">
        <f t="shared" si="99"/>
        <v>#REF!</v>
      </c>
      <c r="Y221" s="166" t="e">
        <f t="shared" si="99"/>
        <v>#REF!</v>
      </c>
      <c r="Z221" s="166" t="e">
        <f t="shared" si="99"/>
        <v>#REF!</v>
      </c>
      <c r="AA221" s="166" t="e">
        <f t="shared" si="99"/>
        <v>#REF!</v>
      </c>
      <c r="AB221" s="166" t="e">
        <f t="shared" si="99"/>
        <v>#REF!</v>
      </c>
      <c r="AC221" s="166" t="e">
        <f t="shared" si="99"/>
        <v>#REF!</v>
      </c>
      <c r="AD221" s="166" t="e">
        <f t="shared" si="99"/>
        <v>#REF!</v>
      </c>
      <c r="AE221" s="166" t="e">
        <f t="shared" si="99"/>
        <v>#REF!</v>
      </c>
      <c r="AF221" s="166" t="e">
        <f t="shared" si="99"/>
        <v>#REF!</v>
      </c>
      <c r="AG221" s="166" t="e">
        <f t="shared" si="99"/>
        <v>#REF!</v>
      </c>
      <c r="AH221" s="166" t="e">
        <f t="shared" si="99"/>
        <v>#REF!</v>
      </c>
      <c r="AI221" s="166" t="e">
        <f t="shared" si="99"/>
        <v>#REF!</v>
      </c>
      <c r="AJ221" s="166" t="e">
        <f t="shared" si="99"/>
        <v>#REF!</v>
      </c>
      <c r="AK221" s="166" t="e">
        <f t="shared" si="99"/>
        <v>#REF!</v>
      </c>
      <c r="AL221" s="167" t="e">
        <f t="shared" si="99"/>
        <v>#REF!</v>
      </c>
      <c r="AM221" s="128"/>
    </row>
    <row r="222" spans="1:39" customFormat="1" ht="15" outlineLevel="2">
      <c r="A222" s="309"/>
      <c r="B222" s="142"/>
      <c r="C222" s="370"/>
      <c r="D222" s="151" t="s">
        <v>33</v>
      </c>
      <c r="E222" s="327" t="s">
        <v>28</v>
      </c>
      <c r="F222" s="214">
        <f t="shared" si="99"/>
        <v>-71454.079999999987</v>
      </c>
      <c r="G222" s="214">
        <f t="shared" si="99"/>
        <v>260961.09</v>
      </c>
      <c r="H222" s="215">
        <f t="shared" si="99"/>
        <v>-323800</v>
      </c>
      <c r="I222" s="168">
        <f t="shared" si="99"/>
        <v>193800</v>
      </c>
      <c r="J222" s="169">
        <f t="shared" si="99"/>
        <v>-200000</v>
      </c>
      <c r="K222" s="169">
        <f t="shared" si="99"/>
        <v>0</v>
      </c>
      <c r="L222" s="169">
        <f t="shared" si="99"/>
        <v>0</v>
      </c>
      <c r="M222" s="169" t="e">
        <f t="shared" si="99"/>
        <v>#REF!</v>
      </c>
      <c r="N222" s="169" t="e">
        <f t="shared" si="99"/>
        <v>#REF!</v>
      </c>
      <c r="O222" s="169" t="e">
        <f t="shared" si="99"/>
        <v>#REF!</v>
      </c>
      <c r="P222" s="169" t="e">
        <f t="shared" si="99"/>
        <v>#REF!</v>
      </c>
      <c r="Q222" s="169" t="e">
        <f t="shared" si="99"/>
        <v>#REF!</v>
      </c>
      <c r="R222" s="169" t="e">
        <f t="shared" si="99"/>
        <v>#REF!</v>
      </c>
      <c r="S222" s="169" t="e">
        <f t="shared" si="99"/>
        <v>#REF!</v>
      </c>
      <c r="T222" s="169" t="e">
        <f t="shared" si="99"/>
        <v>#REF!</v>
      </c>
      <c r="U222" s="169" t="e">
        <f t="shared" si="99"/>
        <v>#REF!</v>
      </c>
      <c r="V222" s="169" t="e">
        <f t="shared" si="99"/>
        <v>#REF!</v>
      </c>
      <c r="W222" s="169" t="e">
        <f t="shared" si="99"/>
        <v>#REF!</v>
      </c>
      <c r="X222" s="169" t="e">
        <f t="shared" si="99"/>
        <v>#REF!</v>
      </c>
      <c r="Y222" s="169" t="e">
        <f t="shared" si="99"/>
        <v>#REF!</v>
      </c>
      <c r="Z222" s="169" t="e">
        <f t="shared" si="99"/>
        <v>#REF!</v>
      </c>
      <c r="AA222" s="169" t="e">
        <f t="shared" si="99"/>
        <v>#REF!</v>
      </c>
      <c r="AB222" s="169" t="e">
        <f t="shared" si="99"/>
        <v>#REF!</v>
      </c>
      <c r="AC222" s="169" t="e">
        <f t="shared" si="99"/>
        <v>#REF!</v>
      </c>
      <c r="AD222" s="169" t="e">
        <f t="shared" si="99"/>
        <v>#REF!</v>
      </c>
      <c r="AE222" s="169" t="e">
        <f t="shared" si="99"/>
        <v>#REF!</v>
      </c>
      <c r="AF222" s="169" t="e">
        <f t="shared" si="99"/>
        <v>#REF!</v>
      </c>
      <c r="AG222" s="169" t="e">
        <f t="shared" si="99"/>
        <v>#REF!</v>
      </c>
      <c r="AH222" s="169" t="e">
        <f t="shared" si="99"/>
        <v>#REF!</v>
      </c>
      <c r="AI222" s="169" t="e">
        <f t="shared" si="99"/>
        <v>#REF!</v>
      </c>
      <c r="AJ222" s="169" t="e">
        <f t="shared" si="99"/>
        <v>#REF!</v>
      </c>
      <c r="AK222" s="169" t="e">
        <f t="shared" si="99"/>
        <v>#REF!</v>
      </c>
      <c r="AL222" s="170" t="e">
        <f t="shared" si="99"/>
        <v>#REF!</v>
      </c>
      <c r="AM222" s="128"/>
    </row>
    <row r="223" spans="1:39" customFormat="1" outlineLevel="2">
      <c r="A223" s="309"/>
      <c r="B223" s="218"/>
      <c r="C223" s="369"/>
      <c r="D223" s="143" t="s">
        <v>19</v>
      </c>
      <c r="E223" s="324" t="s">
        <v>28</v>
      </c>
      <c r="F223" s="205">
        <f t="shared" ref="F223:AL228" si="100">+IF(F$236=0,"",F236-E236)</f>
        <v>-1354369.5500000007</v>
      </c>
      <c r="G223" s="205">
        <f t="shared" si="100"/>
        <v>3103154.2699999996</v>
      </c>
      <c r="H223" s="206">
        <f t="shared" si="100"/>
        <v>-807169.96000000089</v>
      </c>
      <c r="I223" s="226">
        <f t="shared" si="100"/>
        <v>281017.74000000209</v>
      </c>
      <c r="J223" s="227">
        <f t="shared" si="100"/>
        <v>-3233548.4800000004</v>
      </c>
      <c r="K223" s="227">
        <f t="shared" si="100"/>
        <v>1225000</v>
      </c>
      <c r="L223" s="227">
        <f t="shared" si="100"/>
        <v>120000</v>
      </c>
      <c r="M223" s="227" t="e">
        <f t="shared" si="100"/>
        <v>#REF!</v>
      </c>
      <c r="N223" s="227" t="e">
        <f t="shared" si="100"/>
        <v>#REF!</v>
      </c>
      <c r="O223" s="227" t="e">
        <f t="shared" si="100"/>
        <v>#REF!</v>
      </c>
      <c r="P223" s="227" t="e">
        <f t="shared" si="100"/>
        <v>#REF!</v>
      </c>
      <c r="Q223" s="227" t="e">
        <f t="shared" si="100"/>
        <v>#REF!</v>
      </c>
      <c r="R223" s="227" t="e">
        <f t="shared" si="100"/>
        <v>#REF!</v>
      </c>
      <c r="S223" s="227" t="e">
        <f t="shared" si="100"/>
        <v>#REF!</v>
      </c>
      <c r="T223" s="227" t="e">
        <f t="shared" si="100"/>
        <v>#REF!</v>
      </c>
      <c r="U223" s="227" t="e">
        <f t="shared" si="100"/>
        <v>#REF!</v>
      </c>
      <c r="V223" s="227" t="e">
        <f t="shared" si="100"/>
        <v>#REF!</v>
      </c>
      <c r="W223" s="227" t="e">
        <f t="shared" si="100"/>
        <v>#REF!</v>
      </c>
      <c r="X223" s="227" t="e">
        <f t="shared" si="100"/>
        <v>#REF!</v>
      </c>
      <c r="Y223" s="227" t="e">
        <f t="shared" si="100"/>
        <v>#REF!</v>
      </c>
      <c r="Z223" s="227" t="e">
        <f t="shared" si="100"/>
        <v>#REF!</v>
      </c>
      <c r="AA223" s="227" t="e">
        <f t="shared" si="100"/>
        <v>#REF!</v>
      </c>
      <c r="AB223" s="227" t="e">
        <f t="shared" si="100"/>
        <v>#REF!</v>
      </c>
      <c r="AC223" s="227" t="e">
        <f t="shared" si="100"/>
        <v>#REF!</v>
      </c>
      <c r="AD223" s="227" t="e">
        <f t="shared" si="100"/>
        <v>#REF!</v>
      </c>
      <c r="AE223" s="227" t="e">
        <f t="shared" si="100"/>
        <v>#REF!</v>
      </c>
      <c r="AF223" s="227" t="e">
        <f t="shared" si="100"/>
        <v>#REF!</v>
      </c>
      <c r="AG223" s="227" t="e">
        <f t="shared" si="100"/>
        <v>#REF!</v>
      </c>
      <c r="AH223" s="227" t="e">
        <f t="shared" si="100"/>
        <v>#REF!</v>
      </c>
      <c r="AI223" s="227" t="e">
        <f t="shared" si="100"/>
        <v>#REF!</v>
      </c>
      <c r="AJ223" s="227" t="e">
        <f t="shared" si="100"/>
        <v>#REF!</v>
      </c>
      <c r="AK223" s="227" t="e">
        <f t="shared" si="100"/>
        <v>#REF!</v>
      </c>
      <c r="AL223" s="228" t="e">
        <f t="shared" si="100"/>
        <v>#REF!</v>
      </c>
      <c r="AM223" s="222"/>
    </row>
    <row r="224" spans="1:39" customFormat="1" ht="15" outlineLevel="2">
      <c r="A224" s="309"/>
      <c r="B224" s="142"/>
      <c r="C224" s="370"/>
      <c r="D224" s="155" t="s">
        <v>315</v>
      </c>
      <c r="E224" s="326" t="s">
        <v>28</v>
      </c>
      <c r="F224" s="212">
        <f t="shared" si="100"/>
        <v>-1299257.58</v>
      </c>
      <c r="G224" s="212">
        <f t="shared" si="100"/>
        <v>275492.12999999896</v>
      </c>
      <c r="H224" s="213">
        <f t="shared" si="100"/>
        <v>-580061.91000000015</v>
      </c>
      <c r="I224" s="165">
        <f t="shared" si="100"/>
        <v>3339113.6700000018</v>
      </c>
      <c r="J224" s="166">
        <f t="shared" si="100"/>
        <v>-2972115.8100000005</v>
      </c>
      <c r="K224" s="166">
        <f t="shared" si="100"/>
        <v>1225000</v>
      </c>
      <c r="L224" s="166">
        <f t="shared" si="100"/>
        <v>120000</v>
      </c>
      <c r="M224" s="166" t="e">
        <f t="shared" si="100"/>
        <v>#REF!</v>
      </c>
      <c r="N224" s="166" t="e">
        <f t="shared" si="100"/>
        <v>#REF!</v>
      </c>
      <c r="O224" s="166" t="e">
        <f t="shared" si="100"/>
        <v>#REF!</v>
      </c>
      <c r="P224" s="166" t="e">
        <f t="shared" si="100"/>
        <v>#REF!</v>
      </c>
      <c r="Q224" s="166" t="e">
        <f t="shared" si="100"/>
        <v>#REF!</v>
      </c>
      <c r="R224" s="166" t="e">
        <f t="shared" si="100"/>
        <v>#REF!</v>
      </c>
      <c r="S224" s="166" t="e">
        <f t="shared" si="100"/>
        <v>#REF!</v>
      </c>
      <c r="T224" s="166" t="e">
        <f t="shared" si="100"/>
        <v>#REF!</v>
      </c>
      <c r="U224" s="166" t="e">
        <f t="shared" si="100"/>
        <v>#REF!</v>
      </c>
      <c r="V224" s="166" t="e">
        <f t="shared" si="100"/>
        <v>#REF!</v>
      </c>
      <c r="W224" s="166" t="e">
        <f t="shared" si="100"/>
        <v>#REF!</v>
      </c>
      <c r="X224" s="166" t="e">
        <f t="shared" si="100"/>
        <v>#REF!</v>
      </c>
      <c r="Y224" s="166" t="e">
        <f t="shared" si="100"/>
        <v>#REF!</v>
      </c>
      <c r="Z224" s="166" t="e">
        <f t="shared" si="100"/>
        <v>#REF!</v>
      </c>
      <c r="AA224" s="166" t="e">
        <f t="shared" si="100"/>
        <v>#REF!</v>
      </c>
      <c r="AB224" s="166" t="e">
        <f t="shared" si="100"/>
        <v>#REF!</v>
      </c>
      <c r="AC224" s="166" t="e">
        <f t="shared" si="100"/>
        <v>#REF!</v>
      </c>
      <c r="AD224" s="166" t="e">
        <f t="shared" si="100"/>
        <v>#REF!</v>
      </c>
      <c r="AE224" s="166" t="e">
        <f t="shared" si="100"/>
        <v>#REF!</v>
      </c>
      <c r="AF224" s="166" t="e">
        <f t="shared" si="100"/>
        <v>#REF!</v>
      </c>
      <c r="AG224" s="166" t="e">
        <f t="shared" si="100"/>
        <v>#REF!</v>
      </c>
      <c r="AH224" s="166" t="e">
        <f t="shared" si="100"/>
        <v>#REF!</v>
      </c>
      <c r="AI224" s="166" t="e">
        <f t="shared" si="100"/>
        <v>#REF!</v>
      </c>
      <c r="AJ224" s="166" t="e">
        <f t="shared" si="100"/>
        <v>#REF!</v>
      </c>
      <c r="AK224" s="166" t="e">
        <f t="shared" si="100"/>
        <v>#REF!</v>
      </c>
      <c r="AL224" s="167" t="e">
        <f t="shared" si="100"/>
        <v>#REF!</v>
      </c>
      <c r="AM224" s="128"/>
    </row>
    <row r="225" spans="1:39" customFormat="1" outlineLevel="2">
      <c r="A225" s="309"/>
      <c r="B225" s="218"/>
      <c r="C225" s="369"/>
      <c r="D225" s="156" t="s">
        <v>34</v>
      </c>
      <c r="E225" s="328" t="s">
        <v>28</v>
      </c>
      <c r="F225" s="216">
        <f t="shared" si="100"/>
        <v>-156195.23000000045</v>
      </c>
      <c r="G225" s="216">
        <f t="shared" si="100"/>
        <v>903654.26999999955</v>
      </c>
      <c r="H225" s="217">
        <f t="shared" si="100"/>
        <v>-574982.66000000015</v>
      </c>
      <c r="I225" s="229">
        <f t="shared" si="100"/>
        <v>-40293.559999998659</v>
      </c>
      <c r="J225" s="230">
        <f t="shared" si="100"/>
        <v>-204048.48000000045</v>
      </c>
      <c r="K225" s="230">
        <f t="shared" si="100"/>
        <v>228000</v>
      </c>
      <c r="L225" s="230">
        <f t="shared" si="100"/>
        <v>232000</v>
      </c>
      <c r="M225" s="230" t="e">
        <f t="shared" si="100"/>
        <v>#REF!</v>
      </c>
      <c r="N225" s="230" t="e">
        <f t="shared" si="100"/>
        <v>#REF!</v>
      </c>
      <c r="O225" s="230" t="e">
        <f t="shared" si="100"/>
        <v>#REF!</v>
      </c>
      <c r="P225" s="230" t="e">
        <f t="shared" si="100"/>
        <v>#REF!</v>
      </c>
      <c r="Q225" s="230" t="e">
        <f t="shared" si="100"/>
        <v>#REF!</v>
      </c>
      <c r="R225" s="230" t="e">
        <f t="shared" si="100"/>
        <v>#REF!</v>
      </c>
      <c r="S225" s="230" t="e">
        <f t="shared" si="100"/>
        <v>#REF!</v>
      </c>
      <c r="T225" s="230" t="e">
        <f t="shared" si="100"/>
        <v>#REF!</v>
      </c>
      <c r="U225" s="230" t="e">
        <f t="shared" si="100"/>
        <v>#REF!</v>
      </c>
      <c r="V225" s="230" t="e">
        <f t="shared" si="100"/>
        <v>#REF!</v>
      </c>
      <c r="W225" s="230" t="e">
        <f t="shared" si="100"/>
        <v>#REF!</v>
      </c>
      <c r="X225" s="230" t="e">
        <f t="shared" si="100"/>
        <v>#REF!</v>
      </c>
      <c r="Y225" s="230" t="e">
        <f t="shared" si="100"/>
        <v>#REF!</v>
      </c>
      <c r="Z225" s="230" t="e">
        <f t="shared" si="100"/>
        <v>#REF!</v>
      </c>
      <c r="AA225" s="230" t="e">
        <f t="shared" si="100"/>
        <v>#REF!</v>
      </c>
      <c r="AB225" s="230" t="e">
        <f t="shared" si="100"/>
        <v>#REF!</v>
      </c>
      <c r="AC225" s="230" t="e">
        <f t="shared" si="100"/>
        <v>#REF!</v>
      </c>
      <c r="AD225" s="230" t="e">
        <f t="shared" si="100"/>
        <v>#REF!</v>
      </c>
      <c r="AE225" s="230" t="e">
        <f t="shared" si="100"/>
        <v>#REF!</v>
      </c>
      <c r="AF225" s="230" t="e">
        <f t="shared" si="100"/>
        <v>#REF!</v>
      </c>
      <c r="AG225" s="230" t="e">
        <f t="shared" si="100"/>
        <v>#REF!</v>
      </c>
      <c r="AH225" s="230" t="e">
        <f t="shared" si="100"/>
        <v>#REF!</v>
      </c>
      <c r="AI225" s="230" t="e">
        <f t="shared" si="100"/>
        <v>#REF!</v>
      </c>
      <c r="AJ225" s="230" t="e">
        <f t="shared" si="100"/>
        <v>#REF!</v>
      </c>
      <c r="AK225" s="230" t="e">
        <f t="shared" si="100"/>
        <v>#REF!</v>
      </c>
      <c r="AL225" s="231" t="e">
        <f t="shared" si="100"/>
        <v>#REF!</v>
      </c>
      <c r="AM225" s="222"/>
    </row>
    <row r="226" spans="1:39" customFormat="1" ht="15" outlineLevel="2">
      <c r="A226" s="309"/>
      <c r="B226" s="142"/>
      <c r="C226" s="370"/>
      <c r="D226" s="150" t="s">
        <v>36</v>
      </c>
      <c r="E226" s="326" t="s">
        <v>28</v>
      </c>
      <c r="F226" s="212">
        <f t="shared" si="100"/>
        <v>-189901.8200000003</v>
      </c>
      <c r="G226" s="212">
        <f t="shared" si="100"/>
        <v>915403.72999999858</v>
      </c>
      <c r="H226" s="213">
        <f t="shared" si="100"/>
        <v>-568696.25</v>
      </c>
      <c r="I226" s="165">
        <f t="shared" si="100"/>
        <v>-162892.98999999836</v>
      </c>
      <c r="J226" s="166">
        <f t="shared" si="100"/>
        <v>57384.189999999478</v>
      </c>
      <c r="K226" s="166">
        <f t="shared" si="100"/>
        <v>228000</v>
      </c>
      <c r="L226" s="166">
        <f t="shared" si="100"/>
        <v>232000</v>
      </c>
      <c r="M226" s="166" t="e">
        <f t="shared" si="100"/>
        <v>#REF!</v>
      </c>
      <c r="N226" s="166" t="e">
        <f t="shared" si="100"/>
        <v>#REF!</v>
      </c>
      <c r="O226" s="166" t="e">
        <f t="shared" si="100"/>
        <v>#REF!</v>
      </c>
      <c r="P226" s="166" t="e">
        <f t="shared" si="100"/>
        <v>#REF!</v>
      </c>
      <c r="Q226" s="166" t="e">
        <f t="shared" si="100"/>
        <v>#REF!</v>
      </c>
      <c r="R226" s="166" t="e">
        <f t="shared" si="100"/>
        <v>#REF!</v>
      </c>
      <c r="S226" s="166" t="e">
        <f t="shared" si="100"/>
        <v>#REF!</v>
      </c>
      <c r="T226" s="166" t="e">
        <f t="shared" si="100"/>
        <v>#REF!</v>
      </c>
      <c r="U226" s="166" t="e">
        <f t="shared" si="100"/>
        <v>#REF!</v>
      </c>
      <c r="V226" s="166" t="e">
        <f t="shared" si="100"/>
        <v>#REF!</v>
      </c>
      <c r="W226" s="166" t="e">
        <f t="shared" si="100"/>
        <v>#REF!</v>
      </c>
      <c r="X226" s="166" t="e">
        <f t="shared" si="100"/>
        <v>#REF!</v>
      </c>
      <c r="Y226" s="166" t="e">
        <f t="shared" si="100"/>
        <v>#REF!</v>
      </c>
      <c r="Z226" s="166" t="e">
        <f t="shared" si="100"/>
        <v>#REF!</v>
      </c>
      <c r="AA226" s="166" t="e">
        <f t="shared" si="100"/>
        <v>#REF!</v>
      </c>
      <c r="AB226" s="166" t="e">
        <f t="shared" si="100"/>
        <v>#REF!</v>
      </c>
      <c r="AC226" s="166" t="e">
        <f t="shared" si="100"/>
        <v>#REF!</v>
      </c>
      <c r="AD226" s="166" t="e">
        <f t="shared" si="100"/>
        <v>#REF!</v>
      </c>
      <c r="AE226" s="166" t="e">
        <f t="shared" si="100"/>
        <v>#REF!</v>
      </c>
      <c r="AF226" s="166" t="e">
        <f t="shared" si="100"/>
        <v>#REF!</v>
      </c>
      <c r="AG226" s="166" t="e">
        <f t="shared" si="100"/>
        <v>#REF!</v>
      </c>
      <c r="AH226" s="166" t="e">
        <f t="shared" si="100"/>
        <v>#REF!</v>
      </c>
      <c r="AI226" s="166" t="e">
        <f t="shared" si="100"/>
        <v>#REF!</v>
      </c>
      <c r="AJ226" s="166" t="e">
        <f t="shared" si="100"/>
        <v>#REF!</v>
      </c>
      <c r="AK226" s="166" t="e">
        <f t="shared" si="100"/>
        <v>#REF!</v>
      </c>
      <c r="AL226" s="167" t="e">
        <f t="shared" si="100"/>
        <v>#REF!</v>
      </c>
      <c r="AM226" s="128"/>
    </row>
    <row r="227" spans="1:39" customFormat="1" ht="15" outlineLevel="2">
      <c r="A227" s="309"/>
      <c r="B227" s="142"/>
      <c r="C227" s="370"/>
      <c r="D227" s="150" t="s">
        <v>35</v>
      </c>
      <c r="E227" s="326" t="s">
        <v>28</v>
      </c>
      <c r="F227" s="212">
        <f t="shared" si="100"/>
        <v>-269698.53000000026</v>
      </c>
      <c r="G227" s="212">
        <f t="shared" si="100"/>
        <v>235019.75</v>
      </c>
      <c r="H227" s="213">
        <f t="shared" si="100"/>
        <v>-257257.97999999998</v>
      </c>
      <c r="I227" s="165">
        <f t="shared" si="100"/>
        <v>76965.14000000013</v>
      </c>
      <c r="J227" s="166">
        <f t="shared" si="100"/>
        <v>45035</v>
      </c>
      <c r="K227" s="166">
        <f t="shared" si="100"/>
        <v>106710</v>
      </c>
      <c r="L227" s="166">
        <f t="shared" si="100"/>
        <v>109450</v>
      </c>
      <c r="M227" s="166" t="e">
        <f t="shared" si="100"/>
        <v>#REF!</v>
      </c>
      <c r="N227" s="166" t="e">
        <f t="shared" si="100"/>
        <v>#REF!</v>
      </c>
      <c r="O227" s="166" t="e">
        <f t="shared" si="100"/>
        <v>#REF!</v>
      </c>
      <c r="P227" s="166" t="e">
        <f t="shared" si="100"/>
        <v>#REF!</v>
      </c>
      <c r="Q227" s="166" t="e">
        <f t="shared" si="100"/>
        <v>#REF!</v>
      </c>
      <c r="R227" s="166" t="e">
        <f t="shared" si="100"/>
        <v>#REF!</v>
      </c>
      <c r="S227" s="166" t="e">
        <f t="shared" si="100"/>
        <v>#REF!</v>
      </c>
      <c r="T227" s="166" t="e">
        <f t="shared" si="100"/>
        <v>#REF!</v>
      </c>
      <c r="U227" s="166" t="e">
        <f t="shared" si="100"/>
        <v>#REF!</v>
      </c>
      <c r="V227" s="166" t="e">
        <f t="shared" si="100"/>
        <v>#REF!</v>
      </c>
      <c r="W227" s="166" t="e">
        <f t="shared" si="100"/>
        <v>#REF!</v>
      </c>
      <c r="X227" s="166" t="e">
        <f t="shared" si="100"/>
        <v>#REF!</v>
      </c>
      <c r="Y227" s="166" t="e">
        <f t="shared" si="100"/>
        <v>#REF!</v>
      </c>
      <c r="Z227" s="166" t="e">
        <f t="shared" si="100"/>
        <v>#REF!</v>
      </c>
      <c r="AA227" s="166" t="e">
        <f t="shared" si="100"/>
        <v>#REF!</v>
      </c>
      <c r="AB227" s="166" t="e">
        <f t="shared" si="100"/>
        <v>#REF!</v>
      </c>
      <c r="AC227" s="166" t="e">
        <f t="shared" si="100"/>
        <v>#REF!</v>
      </c>
      <c r="AD227" s="166" t="e">
        <f t="shared" si="100"/>
        <v>#REF!</v>
      </c>
      <c r="AE227" s="166" t="e">
        <f t="shared" si="100"/>
        <v>#REF!</v>
      </c>
      <c r="AF227" s="166" t="e">
        <f t="shared" si="100"/>
        <v>#REF!</v>
      </c>
      <c r="AG227" s="166" t="e">
        <f t="shared" si="100"/>
        <v>#REF!</v>
      </c>
      <c r="AH227" s="166" t="e">
        <f t="shared" si="100"/>
        <v>#REF!</v>
      </c>
      <c r="AI227" s="166" t="e">
        <f t="shared" si="100"/>
        <v>#REF!</v>
      </c>
      <c r="AJ227" s="166" t="e">
        <f t="shared" si="100"/>
        <v>#REF!</v>
      </c>
      <c r="AK227" s="166" t="e">
        <f t="shared" si="100"/>
        <v>#REF!</v>
      </c>
      <c r="AL227" s="167" t="e">
        <f t="shared" si="100"/>
        <v>#REF!</v>
      </c>
      <c r="AM227" s="128"/>
    </row>
    <row r="228" spans="1:39" customFormat="1" ht="24" outlineLevel="2">
      <c r="A228" s="309"/>
      <c r="B228" s="142"/>
      <c r="C228" s="370"/>
      <c r="D228" s="151" t="s">
        <v>314</v>
      </c>
      <c r="E228" s="327" t="s">
        <v>28</v>
      </c>
      <c r="F228" s="214">
        <f t="shared" si="100"/>
        <v>28370.259999999776</v>
      </c>
      <c r="G228" s="214">
        <f t="shared" si="100"/>
        <v>605751.27999999933</v>
      </c>
      <c r="H228" s="215">
        <f t="shared" si="100"/>
        <v>-111293.60999999987</v>
      </c>
      <c r="I228" s="168">
        <f t="shared" si="100"/>
        <v>-312973.76999999909</v>
      </c>
      <c r="J228" s="169">
        <f t="shared" si="100"/>
        <v>-182680.48000000045</v>
      </c>
      <c r="K228" s="169">
        <f t="shared" si="100"/>
        <v>83555</v>
      </c>
      <c r="L228" s="169">
        <f t="shared" si="100"/>
        <v>83885</v>
      </c>
      <c r="M228" s="169" t="e">
        <f t="shared" si="100"/>
        <v>#REF!</v>
      </c>
      <c r="N228" s="169" t="e">
        <f t="shared" si="100"/>
        <v>#REF!</v>
      </c>
      <c r="O228" s="169" t="e">
        <f t="shared" si="100"/>
        <v>#REF!</v>
      </c>
      <c r="P228" s="169" t="e">
        <f t="shared" si="100"/>
        <v>#REF!</v>
      </c>
      <c r="Q228" s="169" t="e">
        <f t="shared" si="100"/>
        <v>#REF!</v>
      </c>
      <c r="R228" s="169" t="e">
        <f t="shared" si="100"/>
        <v>#REF!</v>
      </c>
      <c r="S228" s="169" t="e">
        <f t="shared" si="100"/>
        <v>#REF!</v>
      </c>
      <c r="T228" s="169" t="e">
        <f t="shared" si="100"/>
        <v>#REF!</v>
      </c>
      <c r="U228" s="169" t="e">
        <f t="shared" si="100"/>
        <v>#REF!</v>
      </c>
      <c r="V228" s="169" t="e">
        <f t="shared" si="100"/>
        <v>#REF!</v>
      </c>
      <c r="W228" s="169" t="e">
        <f t="shared" si="100"/>
        <v>#REF!</v>
      </c>
      <c r="X228" s="169" t="e">
        <f t="shared" si="100"/>
        <v>#REF!</v>
      </c>
      <c r="Y228" s="169" t="e">
        <f t="shared" si="100"/>
        <v>#REF!</v>
      </c>
      <c r="Z228" s="169" t="e">
        <f t="shared" si="100"/>
        <v>#REF!</v>
      </c>
      <c r="AA228" s="169" t="e">
        <f t="shared" si="100"/>
        <v>#REF!</v>
      </c>
      <c r="AB228" s="169" t="e">
        <f t="shared" si="100"/>
        <v>#REF!</v>
      </c>
      <c r="AC228" s="169" t="e">
        <f t="shared" si="100"/>
        <v>#REF!</v>
      </c>
      <c r="AD228" s="169" t="e">
        <f t="shared" si="100"/>
        <v>#REF!</v>
      </c>
      <c r="AE228" s="169" t="e">
        <f t="shared" si="100"/>
        <v>#REF!</v>
      </c>
      <c r="AF228" s="169" t="e">
        <f t="shared" si="100"/>
        <v>#REF!</v>
      </c>
      <c r="AG228" s="169" t="e">
        <f t="shared" si="100"/>
        <v>#REF!</v>
      </c>
      <c r="AH228" s="169" t="e">
        <f t="shared" si="100"/>
        <v>#REF!</v>
      </c>
      <c r="AI228" s="169" t="e">
        <f t="shared" si="100"/>
        <v>#REF!</v>
      </c>
      <c r="AJ228" s="169" t="e">
        <f t="shared" si="100"/>
        <v>#REF!</v>
      </c>
      <c r="AK228" s="169" t="e">
        <f t="shared" si="100"/>
        <v>#REF!</v>
      </c>
      <c r="AL228" s="170" t="e">
        <f t="shared" si="100"/>
        <v>#REF!</v>
      </c>
      <c r="AM228" s="128"/>
    </row>
    <row r="229" spans="1:39" customFormat="1" ht="15" outlineLevel="1">
      <c r="A229" s="309"/>
      <c r="B229" s="142"/>
      <c r="C229" s="370"/>
      <c r="D229" s="246" t="s">
        <v>338</v>
      </c>
      <c r="E229" s="160"/>
      <c r="F229" s="160"/>
      <c r="G229" s="160"/>
      <c r="H229" s="160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28"/>
    </row>
    <row r="230" spans="1:39" customFormat="1" outlineLevel="2">
      <c r="A230" s="309"/>
      <c r="B230" s="218"/>
      <c r="C230" s="369"/>
      <c r="D230" s="143" t="s">
        <v>24</v>
      </c>
      <c r="E230" s="162">
        <f t="shared" ref="E230:AL230" si="101">+E10</f>
        <v>11735693.560000001</v>
      </c>
      <c r="F230" s="163">
        <f t="shared" si="101"/>
        <v>14062028.15</v>
      </c>
      <c r="G230" s="163">
        <f t="shared" si="101"/>
        <v>13471394.42</v>
      </c>
      <c r="H230" s="164">
        <f t="shared" si="101"/>
        <v>12708280.6</v>
      </c>
      <c r="I230" s="226">
        <f t="shared" si="101"/>
        <v>14088173.67</v>
      </c>
      <c r="J230" s="227">
        <f t="shared" si="101"/>
        <v>10825000</v>
      </c>
      <c r="K230" s="227">
        <f t="shared" si="101"/>
        <v>12050000</v>
      </c>
      <c r="L230" s="227">
        <f t="shared" si="101"/>
        <v>12170000</v>
      </c>
      <c r="M230" s="227" t="e">
        <f t="shared" si="101"/>
        <v>#REF!</v>
      </c>
      <c r="N230" s="227" t="e">
        <f t="shared" si="101"/>
        <v>#REF!</v>
      </c>
      <c r="O230" s="227" t="e">
        <f t="shared" si="101"/>
        <v>#REF!</v>
      </c>
      <c r="P230" s="227" t="e">
        <f t="shared" si="101"/>
        <v>#REF!</v>
      </c>
      <c r="Q230" s="227" t="e">
        <f t="shared" si="101"/>
        <v>#REF!</v>
      </c>
      <c r="R230" s="227" t="e">
        <f t="shared" si="101"/>
        <v>#REF!</v>
      </c>
      <c r="S230" s="227" t="e">
        <f t="shared" si="101"/>
        <v>#REF!</v>
      </c>
      <c r="T230" s="227" t="e">
        <f t="shared" si="101"/>
        <v>#REF!</v>
      </c>
      <c r="U230" s="227" t="e">
        <f t="shared" si="101"/>
        <v>#REF!</v>
      </c>
      <c r="V230" s="227" t="e">
        <f t="shared" si="101"/>
        <v>#REF!</v>
      </c>
      <c r="W230" s="227" t="e">
        <f t="shared" si="101"/>
        <v>#REF!</v>
      </c>
      <c r="X230" s="227" t="e">
        <f t="shared" si="101"/>
        <v>#REF!</v>
      </c>
      <c r="Y230" s="227" t="e">
        <f t="shared" si="101"/>
        <v>#REF!</v>
      </c>
      <c r="Z230" s="227" t="e">
        <f t="shared" si="101"/>
        <v>#REF!</v>
      </c>
      <c r="AA230" s="227" t="e">
        <f t="shared" si="101"/>
        <v>#REF!</v>
      </c>
      <c r="AB230" s="227" t="e">
        <f t="shared" si="101"/>
        <v>#REF!</v>
      </c>
      <c r="AC230" s="227" t="e">
        <f t="shared" si="101"/>
        <v>#REF!</v>
      </c>
      <c r="AD230" s="227" t="e">
        <f t="shared" si="101"/>
        <v>#REF!</v>
      </c>
      <c r="AE230" s="227" t="e">
        <f t="shared" si="101"/>
        <v>#REF!</v>
      </c>
      <c r="AF230" s="227" t="e">
        <f t="shared" si="101"/>
        <v>#REF!</v>
      </c>
      <c r="AG230" s="227" t="e">
        <f t="shared" si="101"/>
        <v>#REF!</v>
      </c>
      <c r="AH230" s="227" t="e">
        <f t="shared" si="101"/>
        <v>#REF!</v>
      </c>
      <c r="AI230" s="227" t="e">
        <f t="shared" si="101"/>
        <v>#REF!</v>
      </c>
      <c r="AJ230" s="227" t="e">
        <f t="shared" si="101"/>
        <v>#REF!</v>
      </c>
      <c r="AK230" s="227" t="e">
        <f t="shared" si="101"/>
        <v>#REF!</v>
      </c>
      <c r="AL230" s="228" t="e">
        <f t="shared" si="101"/>
        <v>#REF!</v>
      </c>
      <c r="AM230" s="222"/>
    </row>
    <row r="231" spans="1:39" customFormat="1" ht="15" outlineLevel="2">
      <c r="A231" s="309"/>
      <c r="B231" s="142"/>
      <c r="C231" s="370"/>
      <c r="D231" s="146" t="s">
        <v>316</v>
      </c>
      <c r="E231" s="171">
        <f t="shared" ref="E231:AL231" si="102">+(E10-E75-E78)</f>
        <v>10589550.51</v>
      </c>
      <c r="F231" s="172">
        <f t="shared" si="102"/>
        <v>12868792.390000001</v>
      </c>
      <c r="G231" s="172">
        <f t="shared" si="102"/>
        <v>12940351.449999999</v>
      </c>
      <c r="H231" s="173">
        <f t="shared" si="102"/>
        <v>12124452.08</v>
      </c>
      <c r="I231" s="165">
        <f t="shared" si="102"/>
        <v>11647337</v>
      </c>
      <c r="J231" s="166">
        <f t="shared" si="102"/>
        <v>10825000</v>
      </c>
      <c r="K231" s="166">
        <f t="shared" si="102"/>
        <v>12050000</v>
      </c>
      <c r="L231" s="166">
        <f t="shared" si="102"/>
        <v>12170000</v>
      </c>
      <c r="M231" s="166" t="e">
        <f t="shared" si="102"/>
        <v>#REF!</v>
      </c>
      <c r="N231" s="166" t="e">
        <f t="shared" si="102"/>
        <v>#REF!</v>
      </c>
      <c r="O231" s="166" t="e">
        <f t="shared" si="102"/>
        <v>#REF!</v>
      </c>
      <c r="P231" s="166" t="e">
        <f t="shared" si="102"/>
        <v>#REF!</v>
      </c>
      <c r="Q231" s="166" t="e">
        <f t="shared" si="102"/>
        <v>#REF!</v>
      </c>
      <c r="R231" s="166" t="e">
        <f t="shared" si="102"/>
        <v>#REF!</v>
      </c>
      <c r="S231" s="166" t="e">
        <f t="shared" si="102"/>
        <v>#REF!</v>
      </c>
      <c r="T231" s="166" t="e">
        <f t="shared" si="102"/>
        <v>#REF!</v>
      </c>
      <c r="U231" s="166" t="e">
        <f t="shared" si="102"/>
        <v>#REF!</v>
      </c>
      <c r="V231" s="166" t="e">
        <f t="shared" si="102"/>
        <v>#REF!</v>
      </c>
      <c r="W231" s="166" t="e">
        <f t="shared" si="102"/>
        <v>#REF!</v>
      </c>
      <c r="X231" s="166" t="e">
        <f t="shared" si="102"/>
        <v>#REF!</v>
      </c>
      <c r="Y231" s="166" t="e">
        <f t="shared" si="102"/>
        <v>#REF!</v>
      </c>
      <c r="Z231" s="166" t="e">
        <f t="shared" si="102"/>
        <v>#REF!</v>
      </c>
      <c r="AA231" s="166" t="e">
        <f t="shared" si="102"/>
        <v>#REF!</v>
      </c>
      <c r="AB231" s="166" t="e">
        <f t="shared" si="102"/>
        <v>#REF!</v>
      </c>
      <c r="AC231" s="166" t="e">
        <f t="shared" si="102"/>
        <v>#REF!</v>
      </c>
      <c r="AD231" s="166" t="e">
        <f t="shared" si="102"/>
        <v>#REF!</v>
      </c>
      <c r="AE231" s="166" t="e">
        <f t="shared" si="102"/>
        <v>#REF!</v>
      </c>
      <c r="AF231" s="166" t="e">
        <f t="shared" si="102"/>
        <v>#REF!</v>
      </c>
      <c r="AG231" s="166" t="e">
        <f t="shared" si="102"/>
        <v>#REF!</v>
      </c>
      <c r="AH231" s="166" t="e">
        <f t="shared" si="102"/>
        <v>#REF!</v>
      </c>
      <c r="AI231" s="166" t="e">
        <f t="shared" si="102"/>
        <v>#REF!</v>
      </c>
      <c r="AJ231" s="166" t="e">
        <f t="shared" si="102"/>
        <v>#REF!</v>
      </c>
      <c r="AK231" s="166" t="e">
        <f t="shared" si="102"/>
        <v>#REF!</v>
      </c>
      <c r="AL231" s="167" t="e">
        <f t="shared" si="102"/>
        <v>#REF!</v>
      </c>
      <c r="AM231" s="128"/>
    </row>
    <row r="232" spans="1:39" customFormat="1" ht="15" outlineLevel="2">
      <c r="A232" s="309"/>
      <c r="B232" s="142"/>
      <c r="C232" s="370"/>
      <c r="D232" s="150" t="s">
        <v>317</v>
      </c>
      <c r="E232" s="171">
        <f t="shared" ref="E232:AL232" si="103">+E11-E75</f>
        <v>10082957.52</v>
      </c>
      <c r="F232" s="172">
        <f t="shared" si="103"/>
        <v>12480453.479999999</v>
      </c>
      <c r="G232" s="172">
        <f t="shared" si="103"/>
        <v>12354175.449999999</v>
      </c>
      <c r="H232" s="173">
        <f t="shared" si="103"/>
        <v>11862676.08</v>
      </c>
      <c r="I232" s="165">
        <f t="shared" si="103"/>
        <v>11446837</v>
      </c>
      <c r="J232" s="166">
        <f t="shared" si="103"/>
        <v>10825000</v>
      </c>
      <c r="K232" s="166">
        <f t="shared" si="103"/>
        <v>12050000</v>
      </c>
      <c r="L232" s="166">
        <f t="shared" si="103"/>
        <v>12170000</v>
      </c>
      <c r="M232" s="166" t="e">
        <f t="shared" si="103"/>
        <v>#REF!</v>
      </c>
      <c r="N232" s="166" t="e">
        <f t="shared" si="103"/>
        <v>#REF!</v>
      </c>
      <c r="O232" s="166" t="e">
        <f t="shared" si="103"/>
        <v>#REF!</v>
      </c>
      <c r="P232" s="166" t="e">
        <f t="shared" si="103"/>
        <v>#REF!</v>
      </c>
      <c r="Q232" s="166" t="e">
        <f t="shared" si="103"/>
        <v>#REF!</v>
      </c>
      <c r="R232" s="166" t="e">
        <f t="shared" si="103"/>
        <v>#REF!</v>
      </c>
      <c r="S232" s="166" t="e">
        <f t="shared" si="103"/>
        <v>#REF!</v>
      </c>
      <c r="T232" s="166" t="e">
        <f t="shared" si="103"/>
        <v>#REF!</v>
      </c>
      <c r="U232" s="166" t="e">
        <f t="shared" si="103"/>
        <v>#REF!</v>
      </c>
      <c r="V232" s="166" t="e">
        <f t="shared" si="103"/>
        <v>#REF!</v>
      </c>
      <c r="W232" s="166" t="e">
        <f t="shared" si="103"/>
        <v>#REF!</v>
      </c>
      <c r="X232" s="166" t="e">
        <f t="shared" si="103"/>
        <v>#REF!</v>
      </c>
      <c r="Y232" s="166" t="e">
        <f t="shared" si="103"/>
        <v>#REF!</v>
      </c>
      <c r="Z232" s="166" t="e">
        <f t="shared" si="103"/>
        <v>#REF!</v>
      </c>
      <c r="AA232" s="166" t="e">
        <f t="shared" si="103"/>
        <v>#REF!</v>
      </c>
      <c r="AB232" s="166" t="e">
        <f t="shared" si="103"/>
        <v>#REF!</v>
      </c>
      <c r="AC232" s="166" t="e">
        <f t="shared" si="103"/>
        <v>#REF!</v>
      </c>
      <c r="AD232" s="166" t="e">
        <f t="shared" si="103"/>
        <v>#REF!</v>
      </c>
      <c r="AE232" s="166" t="e">
        <f t="shared" si="103"/>
        <v>#REF!</v>
      </c>
      <c r="AF232" s="166" t="e">
        <f t="shared" si="103"/>
        <v>#REF!</v>
      </c>
      <c r="AG232" s="166" t="e">
        <f t="shared" si="103"/>
        <v>#REF!</v>
      </c>
      <c r="AH232" s="166" t="e">
        <f t="shared" si="103"/>
        <v>#REF!</v>
      </c>
      <c r="AI232" s="166" t="e">
        <f t="shared" si="103"/>
        <v>#REF!</v>
      </c>
      <c r="AJ232" s="166" t="e">
        <f t="shared" si="103"/>
        <v>#REF!</v>
      </c>
      <c r="AK232" s="166" t="e">
        <f t="shared" si="103"/>
        <v>#REF!</v>
      </c>
      <c r="AL232" s="167" t="e">
        <f t="shared" si="103"/>
        <v>#REF!</v>
      </c>
      <c r="AM232" s="128"/>
    </row>
    <row r="233" spans="1:39" customFormat="1" ht="15" outlineLevel="2">
      <c r="A233" s="309"/>
      <c r="B233" s="142"/>
      <c r="C233" s="370"/>
      <c r="D233" s="150" t="s">
        <v>318</v>
      </c>
      <c r="E233" s="171">
        <f t="shared" ref="E233:AL233" si="104">+E18-E78</f>
        <v>506592.99</v>
      </c>
      <c r="F233" s="172">
        <f t="shared" si="104"/>
        <v>388338.91000000015</v>
      </c>
      <c r="G233" s="172">
        <f t="shared" si="104"/>
        <v>586176</v>
      </c>
      <c r="H233" s="173">
        <f t="shared" si="104"/>
        <v>261776.00000000006</v>
      </c>
      <c r="I233" s="165">
        <f t="shared" si="104"/>
        <v>200500</v>
      </c>
      <c r="J233" s="166">
        <f t="shared" si="104"/>
        <v>0</v>
      </c>
      <c r="K233" s="166">
        <f t="shared" si="104"/>
        <v>0</v>
      </c>
      <c r="L233" s="166">
        <f t="shared" si="104"/>
        <v>0</v>
      </c>
      <c r="M233" s="166" t="e">
        <f t="shared" si="104"/>
        <v>#REF!</v>
      </c>
      <c r="N233" s="166" t="e">
        <f t="shared" si="104"/>
        <v>#REF!</v>
      </c>
      <c r="O233" s="166" t="e">
        <f t="shared" si="104"/>
        <v>#REF!</v>
      </c>
      <c r="P233" s="166" t="e">
        <f t="shared" si="104"/>
        <v>#REF!</v>
      </c>
      <c r="Q233" s="166" t="e">
        <f t="shared" si="104"/>
        <v>#REF!</v>
      </c>
      <c r="R233" s="166" t="e">
        <f t="shared" si="104"/>
        <v>#REF!</v>
      </c>
      <c r="S233" s="166" t="e">
        <f t="shared" si="104"/>
        <v>#REF!</v>
      </c>
      <c r="T233" s="166" t="e">
        <f t="shared" si="104"/>
        <v>#REF!</v>
      </c>
      <c r="U233" s="166" t="e">
        <f t="shared" si="104"/>
        <v>#REF!</v>
      </c>
      <c r="V233" s="166" t="e">
        <f t="shared" si="104"/>
        <v>#REF!</v>
      </c>
      <c r="W233" s="166" t="e">
        <f t="shared" si="104"/>
        <v>#REF!</v>
      </c>
      <c r="X233" s="166" t="e">
        <f t="shared" si="104"/>
        <v>#REF!</v>
      </c>
      <c r="Y233" s="166" t="e">
        <f t="shared" si="104"/>
        <v>#REF!</v>
      </c>
      <c r="Z233" s="166" t="e">
        <f t="shared" si="104"/>
        <v>#REF!</v>
      </c>
      <c r="AA233" s="166" t="e">
        <f t="shared" si="104"/>
        <v>#REF!</v>
      </c>
      <c r="AB233" s="166" t="e">
        <f t="shared" si="104"/>
        <v>#REF!</v>
      </c>
      <c r="AC233" s="166" t="e">
        <f t="shared" si="104"/>
        <v>#REF!</v>
      </c>
      <c r="AD233" s="166" t="e">
        <f t="shared" si="104"/>
        <v>#REF!</v>
      </c>
      <c r="AE233" s="166" t="e">
        <f t="shared" si="104"/>
        <v>#REF!</v>
      </c>
      <c r="AF233" s="166" t="e">
        <f t="shared" si="104"/>
        <v>#REF!</v>
      </c>
      <c r="AG233" s="166" t="e">
        <f t="shared" si="104"/>
        <v>#REF!</v>
      </c>
      <c r="AH233" s="166" t="e">
        <f t="shared" si="104"/>
        <v>#REF!</v>
      </c>
      <c r="AI233" s="166" t="e">
        <f t="shared" si="104"/>
        <v>#REF!</v>
      </c>
      <c r="AJ233" s="166" t="e">
        <f t="shared" si="104"/>
        <v>#REF!</v>
      </c>
      <c r="AK233" s="166" t="e">
        <f t="shared" si="104"/>
        <v>#REF!</v>
      </c>
      <c r="AL233" s="167" t="e">
        <f t="shared" si="104"/>
        <v>#REF!</v>
      </c>
      <c r="AM233" s="128"/>
    </row>
    <row r="234" spans="1:39" customFormat="1" ht="24" outlineLevel="2">
      <c r="A234" s="309"/>
      <c r="B234" s="142"/>
      <c r="C234" s="370"/>
      <c r="D234" s="150" t="s">
        <v>319</v>
      </c>
      <c r="E234" s="171">
        <f t="shared" ref="E234:AL234" si="105">+E18-E78-E19</f>
        <v>366100</v>
      </c>
      <c r="F234" s="172">
        <f t="shared" si="105"/>
        <v>319300.00000000012</v>
      </c>
      <c r="G234" s="172">
        <f t="shared" si="105"/>
        <v>256176</v>
      </c>
      <c r="H234" s="173">
        <f t="shared" si="105"/>
        <v>255576.00000000006</v>
      </c>
      <c r="I234" s="165">
        <f t="shared" si="105"/>
        <v>500</v>
      </c>
      <c r="J234" s="166">
        <f t="shared" si="105"/>
        <v>0</v>
      </c>
      <c r="K234" s="166">
        <f t="shared" si="105"/>
        <v>0</v>
      </c>
      <c r="L234" s="166">
        <f t="shared" si="105"/>
        <v>0</v>
      </c>
      <c r="M234" s="166" t="e">
        <f t="shared" si="105"/>
        <v>#REF!</v>
      </c>
      <c r="N234" s="166" t="e">
        <f t="shared" si="105"/>
        <v>#REF!</v>
      </c>
      <c r="O234" s="166" t="e">
        <f t="shared" si="105"/>
        <v>#REF!</v>
      </c>
      <c r="P234" s="166" t="e">
        <f t="shared" si="105"/>
        <v>#REF!</v>
      </c>
      <c r="Q234" s="166" t="e">
        <f t="shared" si="105"/>
        <v>#REF!</v>
      </c>
      <c r="R234" s="166" t="e">
        <f t="shared" si="105"/>
        <v>#REF!</v>
      </c>
      <c r="S234" s="166" t="e">
        <f t="shared" si="105"/>
        <v>#REF!</v>
      </c>
      <c r="T234" s="166" t="e">
        <f t="shared" si="105"/>
        <v>#REF!</v>
      </c>
      <c r="U234" s="166" t="e">
        <f t="shared" si="105"/>
        <v>#REF!</v>
      </c>
      <c r="V234" s="166" t="e">
        <f t="shared" si="105"/>
        <v>#REF!</v>
      </c>
      <c r="W234" s="166" t="e">
        <f t="shared" si="105"/>
        <v>#REF!</v>
      </c>
      <c r="X234" s="166" t="e">
        <f t="shared" si="105"/>
        <v>#REF!</v>
      </c>
      <c r="Y234" s="166" t="e">
        <f t="shared" si="105"/>
        <v>#REF!</v>
      </c>
      <c r="Z234" s="166" t="e">
        <f t="shared" si="105"/>
        <v>#REF!</v>
      </c>
      <c r="AA234" s="166" t="e">
        <f t="shared" si="105"/>
        <v>#REF!</v>
      </c>
      <c r="AB234" s="166" t="e">
        <f t="shared" si="105"/>
        <v>#REF!</v>
      </c>
      <c r="AC234" s="166" t="e">
        <f t="shared" si="105"/>
        <v>#REF!</v>
      </c>
      <c r="AD234" s="166" t="e">
        <f t="shared" si="105"/>
        <v>#REF!</v>
      </c>
      <c r="AE234" s="166" t="e">
        <f t="shared" si="105"/>
        <v>#REF!</v>
      </c>
      <c r="AF234" s="166" t="e">
        <f t="shared" si="105"/>
        <v>#REF!</v>
      </c>
      <c r="AG234" s="166" t="e">
        <f t="shared" si="105"/>
        <v>#REF!</v>
      </c>
      <c r="AH234" s="166" t="e">
        <f t="shared" si="105"/>
        <v>#REF!</v>
      </c>
      <c r="AI234" s="166" t="e">
        <f t="shared" si="105"/>
        <v>#REF!</v>
      </c>
      <c r="AJ234" s="166" t="e">
        <f t="shared" si="105"/>
        <v>#REF!</v>
      </c>
      <c r="AK234" s="166" t="e">
        <f t="shared" si="105"/>
        <v>#REF!</v>
      </c>
      <c r="AL234" s="167" t="e">
        <f t="shared" si="105"/>
        <v>#REF!</v>
      </c>
      <c r="AM234" s="128"/>
    </row>
    <row r="235" spans="1:39" customFormat="1" ht="15" outlineLevel="2">
      <c r="A235" s="309"/>
      <c r="B235" s="142"/>
      <c r="C235" s="370"/>
      <c r="D235" s="151" t="s">
        <v>33</v>
      </c>
      <c r="E235" s="174">
        <f t="shared" ref="E235:AL235" si="106">+E19</f>
        <v>140492.99</v>
      </c>
      <c r="F235" s="175">
        <f t="shared" si="106"/>
        <v>69038.91</v>
      </c>
      <c r="G235" s="175">
        <f t="shared" si="106"/>
        <v>330000</v>
      </c>
      <c r="H235" s="176">
        <f t="shared" si="106"/>
        <v>6200</v>
      </c>
      <c r="I235" s="168">
        <f t="shared" si="106"/>
        <v>200000</v>
      </c>
      <c r="J235" s="169">
        <f t="shared" si="106"/>
        <v>0</v>
      </c>
      <c r="K235" s="169">
        <f t="shared" si="106"/>
        <v>0</v>
      </c>
      <c r="L235" s="169">
        <f t="shared" si="106"/>
        <v>0</v>
      </c>
      <c r="M235" s="169" t="e">
        <f t="shared" si="106"/>
        <v>#REF!</v>
      </c>
      <c r="N235" s="169" t="e">
        <f t="shared" si="106"/>
        <v>#REF!</v>
      </c>
      <c r="O235" s="169" t="e">
        <f t="shared" si="106"/>
        <v>#REF!</v>
      </c>
      <c r="P235" s="169" t="e">
        <f t="shared" si="106"/>
        <v>#REF!</v>
      </c>
      <c r="Q235" s="169" t="e">
        <f t="shared" si="106"/>
        <v>#REF!</v>
      </c>
      <c r="R235" s="169" t="e">
        <f t="shared" si="106"/>
        <v>#REF!</v>
      </c>
      <c r="S235" s="169" t="e">
        <f t="shared" si="106"/>
        <v>#REF!</v>
      </c>
      <c r="T235" s="169" t="e">
        <f t="shared" si="106"/>
        <v>#REF!</v>
      </c>
      <c r="U235" s="169" t="e">
        <f t="shared" si="106"/>
        <v>#REF!</v>
      </c>
      <c r="V235" s="169" t="e">
        <f t="shared" si="106"/>
        <v>#REF!</v>
      </c>
      <c r="W235" s="169" t="e">
        <f t="shared" si="106"/>
        <v>#REF!</v>
      </c>
      <c r="X235" s="169" t="e">
        <f t="shared" si="106"/>
        <v>#REF!</v>
      </c>
      <c r="Y235" s="169" t="e">
        <f t="shared" si="106"/>
        <v>#REF!</v>
      </c>
      <c r="Z235" s="169" t="e">
        <f t="shared" si="106"/>
        <v>#REF!</v>
      </c>
      <c r="AA235" s="169" t="e">
        <f t="shared" si="106"/>
        <v>#REF!</v>
      </c>
      <c r="AB235" s="169" t="e">
        <f t="shared" si="106"/>
        <v>#REF!</v>
      </c>
      <c r="AC235" s="169" t="e">
        <f t="shared" si="106"/>
        <v>#REF!</v>
      </c>
      <c r="AD235" s="169" t="e">
        <f t="shared" si="106"/>
        <v>#REF!</v>
      </c>
      <c r="AE235" s="169" t="e">
        <f t="shared" si="106"/>
        <v>#REF!</v>
      </c>
      <c r="AF235" s="169" t="e">
        <f t="shared" si="106"/>
        <v>#REF!</v>
      </c>
      <c r="AG235" s="169" t="e">
        <f t="shared" si="106"/>
        <v>#REF!</v>
      </c>
      <c r="AH235" s="169" t="e">
        <f t="shared" si="106"/>
        <v>#REF!</v>
      </c>
      <c r="AI235" s="169" t="e">
        <f t="shared" si="106"/>
        <v>#REF!</v>
      </c>
      <c r="AJ235" s="169" t="e">
        <f t="shared" si="106"/>
        <v>#REF!</v>
      </c>
      <c r="AK235" s="169" t="e">
        <f t="shared" si="106"/>
        <v>#REF!</v>
      </c>
      <c r="AL235" s="170" t="e">
        <f t="shared" si="106"/>
        <v>#REF!</v>
      </c>
      <c r="AM235" s="128"/>
    </row>
    <row r="236" spans="1:39" customFormat="1" outlineLevel="2">
      <c r="A236" s="309"/>
      <c r="B236" s="218"/>
      <c r="C236" s="369"/>
      <c r="D236" s="143" t="s">
        <v>19</v>
      </c>
      <c r="E236" s="162">
        <f t="shared" ref="E236:AL236" si="107">+E21</f>
        <v>12835915.98</v>
      </c>
      <c r="F236" s="163">
        <f t="shared" si="107"/>
        <v>11481546.43</v>
      </c>
      <c r="G236" s="163">
        <f t="shared" si="107"/>
        <v>14584700.699999999</v>
      </c>
      <c r="H236" s="164">
        <f t="shared" si="107"/>
        <v>13777530.739999998</v>
      </c>
      <c r="I236" s="226">
        <f t="shared" si="107"/>
        <v>14058548.48</v>
      </c>
      <c r="J236" s="227">
        <f t="shared" si="107"/>
        <v>10825000</v>
      </c>
      <c r="K236" s="227">
        <f t="shared" si="107"/>
        <v>12050000</v>
      </c>
      <c r="L236" s="227">
        <f t="shared" si="107"/>
        <v>12170000</v>
      </c>
      <c r="M236" s="227" t="e">
        <f t="shared" si="107"/>
        <v>#REF!</v>
      </c>
      <c r="N236" s="227" t="e">
        <f t="shared" si="107"/>
        <v>#REF!</v>
      </c>
      <c r="O236" s="227" t="e">
        <f t="shared" si="107"/>
        <v>#REF!</v>
      </c>
      <c r="P236" s="227" t="e">
        <f t="shared" si="107"/>
        <v>#REF!</v>
      </c>
      <c r="Q236" s="227" t="e">
        <f t="shared" si="107"/>
        <v>#REF!</v>
      </c>
      <c r="R236" s="227" t="e">
        <f t="shared" si="107"/>
        <v>#REF!</v>
      </c>
      <c r="S236" s="227" t="e">
        <f t="shared" si="107"/>
        <v>#REF!</v>
      </c>
      <c r="T236" s="227" t="e">
        <f t="shared" si="107"/>
        <v>#REF!</v>
      </c>
      <c r="U236" s="227" t="e">
        <f t="shared" si="107"/>
        <v>#REF!</v>
      </c>
      <c r="V236" s="227" t="e">
        <f t="shared" si="107"/>
        <v>#REF!</v>
      </c>
      <c r="W236" s="227" t="e">
        <f t="shared" si="107"/>
        <v>#REF!</v>
      </c>
      <c r="X236" s="227" t="e">
        <f t="shared" si="107"/>
        <v>#REF!</v>
      </c>
      <c r="Y236" s="227" t="e">
        <f t="shared" si="107"/>
        <v>#REF!</v>
      </c>
      <c r="Z236" s="227" t="e">
        <f t="shared" si="107"/>
        <v>#REF!</v>
      </c>
      <c r="AA236" s="227" t="e">
        <f t="shared" si="107"/>
        <v>#REF!</v>
      </c>
      <c r="AB236" s="227" t="e">
        <f t="shared" si="107"/>
        <v>#REF!</v>
      </c>
      <c r="AC236" s="227" t="e">
        <f t="shared" si="107"/>
        <v>#REF!</v>
      </c>
      <c r="AD236" s="227" t="e">
        <f t="shared" si="107"/>
        <v>#REF!</v>
      </c>
      <c r="AE236" s="227" t="e">
        <f t="shared" si="107"/>
        <v>#REF!</v>
      </c>
      <c r="AF236" s="227" t="e">
        <f t="shared" si="107"/>
        <v>#REF!</v>
      </c>
      <c r="AG236" s="227" t="e">
        <f t="shared" si="107"/>
        <v>#REF!</v>
      </c>
      <c r="AH236" s="227" t="e">
        <f t="shared" si="107"/>
        <v>#REF!</v>
      </c>
      <c r="AI236" s="227" t="e">
        <f t="shared" si="107"/>
        <v>#REF!</v>
      </c>
      <c r="AJ236" s="227" t="e">
        <f t="shared" si="107"/>
        <v>#REF!</v>
      </c>
      <c r="AK236" s="227" t="e">
        <f t="shared" si="107"/>
        <v>#REF!</v>
      </c>
      <c r="AL236" s="228" t="e">
        <f t="shared" si="107"/>
        <v>#REF!</v>
      </c>
      <c r="AM236" s="222"/>
    </row>
    <row r="237" spans="1:39" customFormat="1" ht="15" outlineLevel="2">
      <c r="A237" s="309"/>
      <c r="B237" s="142"/>
      <c r="C237" s="370"/>
      <c r="D237" s="155" t="s">
        <v>315</v>
      </c>
      <c r="E237" s="171">
        <f t="shared" ref="E237:AL237" si="108">+E21-E81-E84</f>
        <v>12061829.5</v>
      </c>
      <c r="F237" s="172">
        <f t="shared" si="108"/>
        <v>10762571.92</v>
      </c>
      <c r="G237" s="172">
        <f t="shared" si="108"/>
        <v>11038064.049999999</v>
      </c>
      <c r="H237" s="173">
        <f t="shared" si="108"/>
        <v>10458002.139999999</v>
      </c>
      <c r="I237" s="165">
        <f t="shared" si="108"/>
        <v>13797115.810000001</v>
      </c>
      <c r="J237" s="166">
        <f t="shared" si="108"/>
        <v>10825000</v>
      </c>
      <c r="K237" s="166">
        <f t="shared" si="108"/>
        <v>12050000</v>
      </c>
      <c r="L237" s="166">
        <f t="shared" si="108"/>
        <v>12170000</v>
      </c>
      <c r="M237" s="166" t="e">
        <f t="shared" si="108"/>
        <v>#REF!</v>
      </c>
      <c r="N237" s="166" t="e">
        <f t="shared" si="108"/>
        <v>#REF!</v>
      </c>
      <c r="O237" s="166" t="e">
        <f t="shared" si="108"/>
        <v>#REF!</v>
      </c>
      <c r="P237" s="166" t="e">
        <f t="shared" si="108"/>
        <v>#REF!</v>
      </c>
      <c r="Q237" s="166" t="e">
        <f t="shared" si="108"/>
        <v>#REF!</v>
      </c>
      <c r="R237" s="166" t="e">
        <f t="shared" si="108"/>
        <v>#REF!</v>
      </c>
      <c r="S237" s="166" t="e">
        <f t="shared" si="108"/>
        <v>#REF!</v>
      </c>
      <c r="T237" s="166" t="e">
        <f t="shared" si="108"/>
        <v>#REF!</v>
      </c>
      <c r="U237" s="166" t="e">
        <f t="shared" si="108"/>
        <v>#REF!</v>
      </c>
      <c r="V237" s="166" t="e">
        <f t="shared" si="108"/>
        <v>#REF!</v>
      </c>
      <c r="W237" s="166" t="e">
        <f t="shared" si="108"/>
        <v>#REF!</v>
      </c>
      <c r="X237" s="166" t="e">
        <f t="shared" si="108"/>
        <v>#REF!</v>
      </c>
      <c r="Y237" s="166" t="e">
        <f t="shared" si="108"/>
        <v>#REF!</v>
      </c>
      <c r="Z237" s="166" t="e">
        <f t="shared" si="108"/>
        <v>#REF!</v>
      </c>
      <c r="AA237" s="166" t="e">
        <f t="shared" si="108"/>
        <v>#REF!</v>
      </c>
      <c r="AB237" s="166" t="e">
        <f t="shared" si="108"/>
        <v>#REF!</v>
      </c>
      <c r="AC237" s="166" t="e">
        <f t="shared" si="108"/>
        <v>#REF!</v>
      </c>
      <c r="AD237" s="166" t="e">
        <f t="shared" si="108"/>
        <v>#REF!</v>
      </c>
      <c r="AE237" s="166" t="e">
        <f t="shared" si="108"/>
        <v>#REF!</v>
      </c>
      <c r="AF237" s="166" t="e">
        <f t="shared" si="108"/>
        <v>#REF!</v>
      </c>
      <c r="AG237" s="166" t="e">
        <f t="shared" si="108"/>
        <v>#REF!</v>
      </c>
      <c r="AH237" s="166" t="e">
        <f t="shared" si="108"/>
        <v>#REF!</v>
      </c>
      <c r="AI237" s="166" t="e">
        <f t="shared" si="108"/>
        <v>#REF!</v>
      </c>
      <c r="AJ237" s="166" t="e">
        <f t="shared" si="108"/>
        <v>#REF!</v>
      </c>
      <c r="AK237" s="166" t="e">
        <f t="shared" si="108"/>
        <v>#REF!</v>
      </c>
      <c r="AL237" s="167" t="e">
        <f t="shared" si="108"/>
        <v>#REF!</v>
      </c>
      <c r="AM237" s="128"/>
    </row>
    <row r="238" spans="1:39" customFormat="1" outlineLevel="2">
      <c r="A238" s="309"/>
      <c r="B238" s="218"/>
      <c r="C238" s="369"/>
      <c r="D238" s="156" t="s">
        <v>34</v>
      </c>
      <c r="E238" s="207">
        <f t="shared" ref="E238:AL238" si="109">+E22</f>
        <v>9211865.6600000001</v>
      </c>
      <c r="F238" s="208">
        <f t="shared" si="109"/>
        <v>9055670.4299999997</v>
      </c>
      <c r="G238" s="208">
        <f t="shared" si="109"/>
        <v>9959324.6999999993</v>
      </c>
      <c r="H238" s="209">
        <f t="shared" si="109"/>
        <v>9384342.0399999991</v>
      </c>
      <c r="I238" s="229">
        <f t="shared" si="109"/>
        <v>9344048.4800000004</v>
      </c>
      <c r="J238" s="230">
        <f t="shared" si="109"/>
        <v>9140000</v>
      </c>
      <c r="K238" s="230">
        <f t="shared" si="109"/>
        <v>9368000</v>
      </c>
      <c r="L238" s="230">
        <f t="shared" si="109"/>
        <v>9600000</v>
      </c>
      <c r="M238" s="230" t="e">
        <f t="shared" si="109"/>
        <v>#REF!</v>
      </c>
      <c r="N238" s="230" t="e">
        <f t="shared" si="109"/>
        <v>#REF!</v>
      </c>
      <c r="O238" s="230" t="e">
        <f t="shared" si="109"/>
        <v>#REF!</v>
      </c>
      <c r="P238" s="230" t="e">
        <f t="shared" si="109"/>
        <v>#REF!</v>
      </c>
      <c r="Q238" s="230" t="e">
        <f t="shared" si="109"/>
        <v>#REF!</v>
      </c>
      <c r="R238" s="230" t="e">
        <f t="shared" si="109"/>
        <v>#REF!</v>
      </c>
      <c r="S238" s="230" t="e">
        <f t="shared" si="109"/>
        <v>#REF!</v>
      </c>
      <c r="T238" s="230" t="e">
        <f t="shared" si="109"/>
        <v>#REF!</v>
      </c>
      <c r="U238" s="230" t="e">
        <f t="shared" si="109"/>
        <v>#REF!</v>
      </c>
      <c r="V238" s="230" t="e">
        <f t="shared" si="109"/>
        <v>#REF!</v>
      </c>
      <c r="W238" s="230" t="e">
        <f t="shared" si="109"/>
        <v>#REF!</v>
      </c>
      <c r="X238" s="230" t="e">
        <f t="shared" si="109"/>
        <v>#REF!</v>
      </c>
      <c r="Y238" s="230" t="e">
        <f t="shared" si="109"/>
        <v>#REF!</v>
      </c>
      <c r="Z238" s="230" t="e">
        <f t="shared" si="109"/>
        <v>#REF!</v>
      </c>
      <c r="AA238" s="230" t="e">
        <f t="shared" si="109"/>
        <v>#REF!</v>
      </c>
      <c r="AB238" s="230" t="e">
        <f t="shared" si="109"/>
        <v>#REF!</v>
      </c>
      <c r="AC238" s="230" t="e">
        <f t="shared" si="109"/>
        <v>#REF!</v>
      </c>
      <c r="AD238" s="230" t="e">
        <f t="shared" si="109"/>
        <v>#REF!</v>
      </c>
      <c r="AE238" s="230" t="e">
        <f t="shared" si="109"/>
        <v>#REF!</v>
      </c>
      <c r="AF238" s="230" t="e">
        <f t="shared" si="109"/>
        <v>#REF!</v>
      </c>
      <c r="AG238" s="230" t="e">
        <f t="shared" si="109"/>
        <v>#REF!</v>
      </c>
      <c r="AH238" s="230" t="e">
        <f t="shared" si="109"/>
        <v>#REF!</v>
      </c>
      <c r="AI238" s="230" t="e">
        <f t="shared" si="109"/>
        <v>#REF!</v>
      </c>
      <c r="AJ238" s="230" t="e">
        <f t="shared" si="109"/>
        <v>#REF!</v>
      </c>
      <c r="AK238" s="230" t="e">
        <f t="shared" si="109"/>
        <v>#REF!</v>
      </c>
      <c r="AL238" s="231" t="e">
        <f t="shared" si="109"/>
        <v>#REF!</v>
      </c>
      <c r="AM238" s="222"/>
    </row>
    <row r="239" spans="1:39" customFormat="1" ht="15" outlineLevel="2">
      <c r="A239" s="309"/>
      <c r="B239" s="142"/>
      <c r="C239" s="370"/>
      <c r="D239" s="150" t="s">
        <v>36</v>
      </c>
      <c r="E239" s="171">
        <f t="shared" ref="E239:AL239" si="110">+E22-E81</f>
        <v>9088703.1400000006</v>
      </c>
      <c r="F239" s="172">
        <f t="shared" si="110"/>
        <v>8898801.3200000003</v>
      </c>
      <c r="G239" s="172">
        <f t="shared" si="110"/>
        <v>9814205.0499999989</v>
      </c>
      <c r="H239" s="173">
        <f t="shared" si="110"/>
        <v>9245508.7999999989</v>
      </c>
      <c r="I239" s="165">
        <f t="shared" si="110"/>
        <v>9082615.8100000005</v>
      </c>
      <c r="J239" s="166">
        <f t="shared" si="110"/>
        <v>9140000</v>
      </c>
      <c r="K239" s="166">
        <f t="shared" si="110"/>
        <v>9368000</v>
      </c>
      <c r="L239" s="166">
        <f t="shared" si="110"/>
        <v>9600000</v>
      </c>
      <c r="M239" s="166" t="e">
        <f t="shared" si="110"/>
        <v>#REF!</v>
      </c>
      <c r="N239" s="166" t="e">
        <f t="shared" si="110"/>
        <v>#REF!</v>
      </c>
      <c r="O239" s="166" t="e">
        <f t="shared" si="110"/>
        <v>#REF!</v>
      </c>
      <c r="P239" s="166" t="e">
        <f t="shared" si="110"/>
        <v>#REF!</v>
      </c>
      <c r="Q239" s="166" t="e">
        <f t="shared" si="110"/>
        <v>#REF!</v>
      </c>
      <c r="R239" s="166" t="e">
        <f t="shared" si="110"/>
        <v>#REF!</v>
      </c>
      <c r="S239" s="166" t="e">
        <f t="shared" si="110"/>
        <v>#REF!</v>
      </c>
      <c r="T239" s="166" t="e">
        <f t="shared" si="110"/>
        <v>#REF!</v>
      </c>
      <c r="U239" s="166" t="e">
        <f t="shared" si="110"/>
        <v>#REF!</v>
      </c>
      <c r="V239" s="166" t="e">
        <f t="shared" si="110"/>
        <v>#REF!</v>
      </c>
      <c r="W239" s="166" t="e">
        <f t="shared" si="110"/>
        <v>#REF!</v>
      </c>
      <c r="X239" s="166" t="e">
        <f t="shared" si="110"/>
        <v>#REF!</v>
      </c>
      <c r="Y239" s="166" t="e">
        <f t="shared" si="110"/>
        <v>#REF!</v>
      </c>
      <c r="Z239" s="166" t="e">
        <f t="shared" si="110"/>
        <v>#REF!</v>
      </c>
      <c r="AA239" s="166" t="e">
        <f t="shared" si="110"/>
        <v>#REF!</v>
      </c>
      <c r="AB239" s="166" t="e">
        <f t="shared" si="110"/>
        <v>#REF!</v>
      </c>
      <c r="AC239" s="166" t="e">
        <f t="shared" si="110"/>
        <v>#REF!</v>
      </c>
      <c r="AD239" s="166" t="e">
        <f t="shared" si="110"/>
        <v>#REF!</v>
      </c>
      <c r="AE239" s="166" t="e">
        <f t="shared" si="110"/>
        <v>#REF!</v>
      </c>
      <c r="AF239" s="166" t="e">
        <f t="shared" si="110"/>
        <v>#REF!</v>
      </c>
      <c r="AG239" s="166" t="e">
        <f t="shared" si="110"/>
        <v>#REF!</v>
      </c>
      <c r="AH239" s="166" t="e">
        <f t="shared" si="110"/>
        <v>#REF!</v>
      </c>
      <c r="AI239" s="166" t="e">
        <f t="shared" si="110"/>
        <v>#REF!</v>
      </c>
      <c r="AJ239" s="166" t="e">
        <f t="shared" si="110"/>
        <v>#REF!</v>
      </c>
      <c r="AK239" s="166" t="e">
        <f t="shared" si="110"/>
        <v>#REF!</v>
      </c>
      <c r="AL239" s="167" t="e">
        <f t="shared" si="110"/>
        <v>#REF!</v>
      </c>
      <c r="AM239" s="128"/>
    </row>
    <row r="240" spans="1:39" customFormat="1" ht="15" outlineLevel="2">
      <c r="A240" s="309"/>
      <c r="B240" s="142"/>
      <c r="C240" s="370"/>
      <c r="D240" s="150" t="s">
        <v>35</v>
      </c>
      <c r="E240" s="171">
        <f>+E66</f>
        <v>4441226.62</v>
      </c>
      <c r="F240" s="172">
        <f>+F66</f>
        <v>4171528.09</v>
      </c>
      <c r="G240" s="172">
        <f>+G66</f>
        <v>4406547.84</v>
      </c>
      <c r="H240" s="173">
        <f>+H66</f>
        <v>4149289.86</v>
      </c>
      <c r="I240" s="165">
        <f>+I66</f>
        <v>4226255</v>
      </c>
      <c r="J240" s="166">
        <f t="shared" ref="J240:AL240" si="111">+J66</f>
        <v>4271290</v>
      </c>
      <c r="K240" s="166">
        <f t="shared" si="111"/>
        <v>4378000</v>
      </c>
      <c r="L240" s="166">
        <f t="shared" si="111"/>
        <v>4487450</v>
      </c>
      <c r="M240" s="166" t="e">
        <f t="shared" si="111"/>
        <v>#REF!</v>
      </c>
      <c r="N240" s="166" t="e">
        <f t="shared" si="111"/>
        <v>#REF!</v>
      </c>
      <c r="O240" s="166" t="e">
        <f t="shared" si="111"/>
        <v>#REF!</v>
      </c>
      <c r="P240" s="166" t="e">
        <f t="shared" si="111"/>
        <v>#REF!</v>
      </c>
      <c r="Q240" s="166" t="e">
        <f t="shared" si="111"/>
        <v>#REF!</v>
      </c>
      <c r="R240" s="166" t="e">
        <f t="shared" si="111"/>
        <v>#REF!</v>
      </c>
      <c r="S240" s="166" t="e">
        <f t="shared" si="111"/>
        <v>#REF!</v>
      </c>
      <c r="T240" s="166" t="e">
        <f t="shared" si="111"/>
        <v>#REF!</v>
      </c>
      <c r="U240" s="166" t="e">
        <f t="shared" si="111"/>
        <v>#REF!</v>
      </c>
      <c r="V240" s="166" t="e">
        <f t="shared" si="111"/>
        <v>#REF!</v>
      </c>
      <c r="W240" s="166" t="e">
        <f t="shared" si="111"/>
        <v>#REF!</v>
      </c>
      <c r="X240" s="166" t="e">
        <f t="shared" si="111"/>
        <v>#REF!</v>
      </c>
      <c r="Y240" s="166" t="e">
        <f t="shared" si="111"/>
        <v>#REF!</v>
      </c>
      <c r="Z240" s="166" t="e">
        <f t="shared" si="111"/>
        <v>#REF!</v>
      </c>
      <c r="AA240" s="166" t="e">
        <f t="shared" si="111"/>
        <v>#REF!</v>
      </c>
      <c r="AB240" s="166" t="e">
        <f t="shared" si="111"/>
        <v>#REF!</v>
      </c>
      <c r="AC240" s="166" t="e">
        <f t="shared" si="111"/>
        <v>#REF!</v>
      </c>
      <c r="AD240" s="166" t="e">
        <f t="shared" si="111"/>
        <v>#REF!</v>
      </c>
      <c r="AE240" s="166" t="e">
        <f t="shared" si="111"/>
        <v>#REF!</v>
      </c>
      <c r="AF240" s="166" t="e">
        <f t="shared" si="111"/>
        <v>#REF!</v>
      </c>
      <c r="AG240" s="166" t="e">
        <f t="shared" si="111"/>
        <v>#REF!</v>
      </c>
      <c r="AH240" s="166" t="e">
        <f t="shared" si="111"/>
        <v>#REF!</v>
      </c>
      <c r="AI240" s="166" t="e">
        <f t="shared" si="111"/>
        <v>#REF!</v>
      </c>
      <c r="AJ240" s="166" t="e">
        <f t="shared" si="111"/>
        <v>#REF!</v>
      </c>
      <c r="AK240" s="166" t="e">
        <f t="shared" si="111"/>
        <v>#REF!</v>
      </c>
      <c r="AL240" s="167" t="e">
        <f t="shared" si="111"/>
        <v>#REF!</v>
      </c>
      <c r="AM240" s="128"/>
    </row>
    <row r="241" spans="1:39" customFormat="1" ht="24" outlineLevel="2">
      <c r="A241" s="309"/>
      <c r="B241" s="142"/>
      <c r="C241" s="370"/>
      <c r="D241" s="151" t="s">
        <v>314</v>
      </c>
      <c r="E241" s="174">
        <f t="shared" ref="E241:AL241" si="112">+E22-E23-E26-E66-E67</f>
        <v>3332136.3200000003</v>
      </c>
      <c r="F241" s="175">
        <f t="shared" si="112"/>
        <v>3360506.58</v>
      </c>
      <c r="G241" s="175">
        <f t="shared" si="112"/>
        <v>3966257.8599999994</v>
      </c>
      <c r="H241" s="176">
        <f t="shared" si="112"/>
        <v>3854964.2499999995</v>
      </c>
      <c r="I241" s="168">
        <f t="shared" si="112"/>
        <v>3541990.4800000004</v>
      </c>
      <c r="J241" s="169">
        <f t="shared" si="112"/>
        <v>3359310</v>
      </c>
      <c r="K241" s="169">
        <f t="shared" si="112"/>
        <v>3442865</v>
      </c>
      <c r="L241" s="169">
        <f t="shared" si="112"/>
        <v>3526750</v>
      </c>
      <c r="M241" s="169" t="e">
        <f t="shared" si="112"/>
        <v>#REF!</v>
      </c>
      <c r="N241" s="169" t="e">
        <f t="shared" si="112"/>
        <v>#REF!</v>
      </c>
      <c r="O241" s="169" t="e">
        <f t="shared" si="112"/>
        <v>#REF!</v>
      </c>
      <c r="P241" s="169" t="e">
        <f t="shared" si="112"/>
        <v>#REF!</v>
      </c>
      <c r="Q241" s="169" t="e">
        <f t="shared" si="112"/>
        <v>#REF!</v>
      </c>
      <c r="R241" s="169" t="e">
        <f t="shared" si="112"/>
        <v>#REF!</v>
      </c>
      <c r="S241" s="169" t="e">
        <f t="shared" si="112"/>
        <v>#REF!</v>
      </c>
      <c r="T241" s="169" t="e">
        <f t="shared" si="112"/>
        <v>#REF!</v>
      </c>
      <c r="U241" s="169" t="e">
        <f t="shared" si="112"/>
        <v>#REF!</v>
      </c>
      <c r="V241" s="169" t="e">
        <f t="shared" si="112"/>
        <v>#REF!</v>
      </c>
      <c r="W241" s="169" t="e">
        <f t="shared" si="112"/>
        <v>#REF!</v>
      </c>
      <c r="X241" s="169" t="e">
        <f t="shared" si="112"/>
        <v>#REF!</v>
      </c>
      <c r="Y241" s="169" t="e">
        <f t="shared" si="112"/>
        <v>#REF!</v>
      </c>
      <c r="Z241" s="169" t="e">
        <f t="shared" si="112"/>
        <v>#REF!</v>
      </c>
      <c r="AA241" s="169" t="e">
        <f t="shared" si="112"/>
        <v>#REF!</v>
      </c>
      <c r="AB241" s="169" t="e">
        <f t="shared" si="112"/>
        <v>#REF!</v>
      </c>
      <c r="AC241" s="169" t="e">
        <f t="shared" si="112"/>
        <v>#REF!</v>
      </c>
      <c r="AD241" s="169" t="e">
        <f t="shared" si="112"/>
        <v>#REF!</v>
      </c>
      <c r="AE241" s="169" t="e">
        <f t="shared" si="112"/>
        <v>#REF!</v>
      </c>
      <c r="AF241" s="169" t="e">
        <f t="shared" si="112"/>
        <v>#REF!</v>
      </c>
      <c r="AG241" s="169" t="e">
        <f t="shared" si="112"/>
        <v>#REF!</v>
      </c>
      <c r="AH241" s="169" t="e">
        <f t="shared" si="112"/>
        <v>#REF!</v>
      </c>
      <c r="AI241" s="169" t="e">
        <f t="shared" si="112"/>
        <v>#REF!</v>
      </c>
      <c r="AJ241" s="169" t="e">
        <f t="shared" si="112"/>
        <v>#REF!</v>
      </c>
      <c r="AK241" s="169" t="e">
        <f t="shared" si="112"/>
        <v>#REF!</v>
      </c>
      <c r="AL241" s="170" t="e">
        <f t="shared" si="112"/>
        <v>#REF!</v>
      </c>
      <c r="AM241" s="128"/>
    </row>
    <row r="242" spans="1:39" customFormat="1" outlineLevel="2">
      <c r="A242" s="309"/>
      <c r="B242" s="1"/>
      <c r="C242" s="365"/>
      <c r="D242" s="17"/>
      <c r="E242" s="59"/>
      <c r="F242" s="59"/>
      <c r="G242" s="59"/>
      <c r="H242" s="59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</row>
  </sheetData>
  <sheetProtection formatCells="0" formatColumns="0" formatRows="0" insertColumns="0" insertRows="0" deleteColumns="0" deleteRows="0"/>
  <autoFilter ref="A9:A110"/>
  <customSheetViews>
    <customSheetView guid="{9360F695-77C0-4418-82C5-829A762C44E9}" showAutoFilter="1" hiddenColumns="1">
      <pane xSplit="4" ySplit="9" topLeftCell="E10" activePane="bottomRight" state="frozen"/>
      <selection pane="bottomRight" activeCell="E10" sqref="E10"/>
      <rowBreaks count="2" manualBreakCount="2">
        <brk id="49" min="1" max="37" man="1"/>
        <brk id="88" min="1" max="37" man="1"/>
      </rowBreaks>
      <pageMargins left="0.51181102362204722" right="0.51181102362204722" top="0.47244094488188981" bottom="0.47244094488188981" header="0.31496062992125984" footer="0.31496062992125984"/>
      <pageSetup paperSize="9" scale="58" orientation="landscape" blackAndWhite="1" horizontalDpi="4294967293" verticalDpi="4294967293" r:id="rId1"/>
      <headerFooter>
        <oddFooter>&amp;L&amp;"Czcionka tekstu podstawowego,Kursywa"&amp;8Wersja szablonu wydruku: 2013-04-08a (symulacja WPF)&amp;C&amp;8Strona &amp;P z &amp;N&amp;R&amp;8Wydruk z dn.: &amp;D - &amp;T</oddFooter>
      </headerFooter>
      <autoFilter ref="B1"/>
    </customSheetView>
  </customSheetViews>
  <mergeCells count="4">
    <mergeCell ref="F1:P1"/>
    <mergeCell ref="F2:P2"/>
    <mergeCell ref="F3:P3"/>
    <mergeCell ref="E8:F8"/>
  </mergeCells>
  <phoneticPr fontId="66" type="noConversion"/>
  <conditionalFormatting sqref="I61:AL62">
    <cfRule type="containsText" dxfId="18" priority="42" stopIfTrue="1" operator="containsText" text="NIE">
      <formula>NOT(ISERROR(SEARCH("NIE",I61)))</formula>
    </cfRule>
  </conditionalFormatting>
  <conditionalFormatting sqref="I204:AL215">
    <cfRule type="cellIs" dxfId="17" priority="19" stopIfTrue="1" operator="notBetween">
      <formula>-$D$203</formula>
      <formula>$D$203</formula>
    </cfRule>
    <cfRule type="cellIs" dxfId="16" priority="30" stopIfTrue="1" operator="notBetween">
      <formula>-$D$202</formula>
      <formula>$D$202</formula>
    </cfRule>
    <cfRule type="cellIs" dxfId="15" priority="31" stopIfTrue="1" operator="notBetween">
      <formula>-$D$201</formula>
      <formula>$D$201</formula>
    </cfRule>
  </conditionalFormatting>
  <conditionalFormatting sqref="I131:AL132">
    <cfRule type="cellIs" dxfId="14" priority="15" stopIfTrue="1" operator="between">
      <formula>-1000000000000</formula>
      <formula>1000000000000</formula>
    </cfRule>
  </conditionalFormatting>
  <conditionalFormatting sqref="I127:AL128">
    <cfRule type="cellIs" dxfId="13" priority="14" stopIfTrue="1" operator="between">
      <formula>-1000000000000</formula>
      <formula>1000000000000</formula>
    </cfRule>
  </conditionalFormatting>
  <conditionalFormatting sqref="I133:AL141 I143:AL150 I155:AL157 I163:AL182 I159:AL161">
    <cfRule type="cellIs" dxfId="12" priority="13" stopIfTrue="1" operator="equal">
      <formula>"BŁĄD"</formula>
    </cfRule>
  </conditionalFormatting>
  <conditionalFormatting sqref="I196:AL199">
    <cfRule type="cellIs" dxfId="11" priority="23" stopIfTrue="1" operator="lessThan">
      <formula>$D$193</formula>
    </cfRule>
    <cfRule type="cellIs" dxfId="10" priority="24" stopIfTrue="1" operator="lessThan">
      <formula>$D$194</formula>
    </cfRule>
    <cfRule type="cellIs" dxfId="9" priority="25" stopIfTrue="1" operator="lessThan">
      <formula>$D$195</formula>
    </cfRule>
  </conditionalFormatting>
  <conditionalFormatting sqref="I129:AL129">
    <cfRule type="cellIs" dxfId="8" priority="9" stopIfTrue="1" operator="between">
      <formula>0</formula>
      <formula>1000000000000</formula>
    </cfRule>
  </conditionalFormatting>
  <conditionalFormatting sqref="I130:AL130">
    <cfRule type="cellIs" dxfId="7" priority="8" stopIfTrue="1" operator="between">
      <formula>-1000000000000</formula>
      <formula>1000000000000</formula>
    </cfRule>
  </conditionalFormatting>
  <conditionalFormatting sqref="I142:AL142">
    <cfRule type="cellIs" dxfId="6" priority="7" stopIfTrue="1" operator="equal">
      <formula>"BŁĄD"</formula>
    </cfRule>
  </conditionalFormatting>
  <conditionalFormatting sqref="I151:AL151">
    <cfRule type="cellIs" dxfId="5" priority="6" stopIfTrue="1" operator="equal">
      <formula>"BŁĄD"</formula>
    </cfRule>
  </conditionalFormatting>
  <conditionalFormatting sqref="I152:AL152">
    <cfRule type="cellIs" dxfId="4" priority="5" stopIfTrue="1" operator="equal">
      <formula>"BŁĄD"</formula>
    </cfRule>
  </conditionalFormatting>
  <conditionalFormatting sqref="I153:AL153">
    <cfRule type="cellIs" dxfId="3" priority="4" stopIfTrue="1" operator="equal">
      <formula>"BŁĄD"</formula>
    </cfRule>
  </conditionalFormatting>
  <conditionalFormatting sqref="I154:AL154">
    <cfRule type="cellIs" dxfId="2" priority="3" stopIfTrue="1" operator="equal">
      <formula>"BŁĄD"</formula>
    </cfRule>
  </conditionalFormatting>
  <conditionalFormatting sqref="I162:AL162">
    <cfRule type="cellIs" dxfId="1" priority="2" stopIfTrue="1" operator="equal">
      <formula>"BŁĄD"</formula>
    </cfRule>
  </conditionalFormatting>
  <conditionalFormatting sqref="I158:AL158">
    <cfRule type="cellIs" dxfId="0" priority="1" stopIfTrue="1" operator="equal">
      <formula>"BŁĄD"</formula>
    </cfRule>
  </conditionalFormatting>
  <pageMargins left="0.51181102362204722" right="0.51181102362204722" top="0.47244094488188981" bottom="0.47244094488188981" header="0.31496062992125984" footer="0.31496062992125984"/>
  <pageSetup paperSize="9" scale="58" orientation="landscape" blackAndWhite="1" horizontalDpi="4294967293" verticalDpi="4294967293" r:id="rId2"/>
  <headerFooter>
    <oddFooter>&amp;L&amp;"Czcionka tekstu podstawowego,Kursywa"&amp;8Wersja szablonu wydruku: 2014-01-23a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9:AH114"/>
  <sheetViews>
    <sheetView topLeftCell="A73" workbookViewId="0">
      <selection activeCell="A114" sqref="A114"/>
    </sheetView>
  </sheetViews>
  <sheetFormatPr defaultRowHeight="11.25"/>
  <cols>
    <col min="1" max="1" width="4.5" style="26" customWidth="1"/>
    <col min="2" max="2" width="6.125" style="26" customWidth="1"/>
    <col min="3" max="3" width="46.375" style="27" customWidth="1"/>
    <col min="4" max="4" width="21" style="27" customWidth="1"/>
    <col min="5" max="5" width="19.875" style="27" customWidth="1"/>
    <col min="6" max="13" width="16.75" style="27" bestFit="1" customWidth="1"/>
    <col min="14" max="16384" width="9" style="27"/>
  </cols>
  <sheetData>
    <row r="9" spans="1:34">
      <c r="B9" s="26" t="s">
        <v>0</v>
      </c>
      <c r="C9" s="27" t="s">
        <v>1</v>
      </c>
      <c r="D9" s="27">
        <v>0</v>
      </c>
      <c r="E9" s="27">
        <v>0</v>
      </c>
      <c r="F9" s="27">
        <f>+E9+1</f>
        <v>1</v>
      </c>
      <c r="G9" s="27">
        <f t="shared" ref="G9:AF9" si="0">+F9+1</f>
        <v>2</v>
      </c>
      <c r="H9" s="27">
        <f t="shared" si="0"/>
        <v>3</v>
      </c>
      <c r="I9" s="27">
        <f t="shared" si="0"/>
        <v>4</v>
      </c>
      <c r="J9" s="27">
        <f t="shared" si="0"/>
        <v>5</v>
      </c>
      <c r="K9" s="27">
        <f t="shared" si="0"/>
        <v>6</v>
      </c>
      <c r="L9" s="27">
        <f t="shared" si="0"/>
        <v>7</v>
      </c>
      <c r="M9" s="27">
        <f t="shared" si="0"/>
        <v>8</v>
      </c>
      <c r="N9" s="27">
        <f t="shared" si="0"/>
        <v>9</v>
      </c>
      <c r="O9" s="27">
        <f t="shared" si="0"/>
        <v>10</v>
      </c>
      <c r="P9" s="27">
        <f>+O9+1</f>
        <v>11</v>
      </c>
      <c r="Q9" s="27">
        <f t="shared" si="0"/>
        <v>12</v>
      </c>
      <c r="R9" s="27">
        <f t="shared" si="0"/>
        <v>13</v>
      </c>
      <c r="S9" s="27">
        <f t="shared" si="0"/>
        <v>14</v>
      </c>
      <c r="T9" s="27">
        <f t="shared" si="0"/>
        <v>15</v>
      </c>
      <c r="U9" s="27">
        <f t="shared" si="0"/>
        <v>16</v>
      </c>
      <c r="V9" s="27">
        <f t="shared" si="0"/>
        <v>17</v>
      </c>
      <c r="W9" s="27">
        <f t="shared" si="0"/>
        <v>18</v>
      </c>
      <c r="X9" s="27">
        <f t="shared" si="0"/>
        <v>19</v>
      </c>
      <c r="Y9" s="27">
        <f t="shared" si="0"/>
        <v>20</v>
      </c>
      <c r="Z9" s="27">
        <f t="shared" si="0"/>
        <v>21</v>
      </c>
      <c r="AA9" s="27">
        <f t="shared" si="0"/>
        <v>22</v>
      </c>
      <c r="AB9" s="27">
        <f t="shared" si="0"/>
        <v>23</v>
      </c>
      <c r="AC9" s="27">
        <f t="shared" si="0"/>
        <v>24</v>
      </c>
      <c r="AD9" s="27">
        <f t="shared" si="0"/>
        <v>25</v>
      </c>
      <c r="AE9" s="27">
        <f t="shared" si="0"/>
        <v>26</v>
      </c>
      <c r="AF9" s="27">
        <f t="shared" si="0"/>
        <v>27</v>
      </c>
      <c r="AG9" s="27">
        <f>+AF9+1</f>
        <v>28</v>
      </c>
      <c r="AH9" s="27">
        <f>+AG9+1</f>
        <v>29</v>
      </c>
    </row>
    <row r="10" spans="1:34">
      <c r="A10" s="26">
        <v>10</v>
      </c>
      <c r="B10" s="26">
        <v>1</v>
      </c>
      <c r="C10" s="27" t="s">
        <v>24</v>
      </c>
      <c r="D10" s="27" t="str">
        <f t="shared" ref="D10:M19" si="1">+"rokwzgl="&amp;D$9&amp;" i lp="&amp;$A10</f>
        <v>rokwzgl=0 i lp=10</v>
      </c>
      <c r="E10" s="27" t="str">
        <f t="shared" si="1"/>
        <v>rokwzgl=0 i lp=10</v>
      </c>
      <c r="F10" s="27" t="str">
        <f t="shared" si="1"/>
        <v>rokwzgl=1 i lp=10</v>
      </c>
      <c r="G10" s="27" t="str">
        <f t="shared" si="1"/>
        <v>rokwzgl=2 i lp=10</v>
      </c>
      <c r="H10" s="27" t="str">
        <f t="shared" si="1"/>
        <v>rokwzgl=3 i lp=10</v>
      </c>
      <c r="I10" s="27" t="str">
        <f t="shared" si="1"/>
        <v>rokwzgl=4 i lp=10</v>
      </c>
      <c r="J10" s="27" t="str">
        <f t="shared" si="1"/>
        <v>rokwzgl=5 i lp=10</v>
      </c>
      <c r="K10" s="27" t="str">
        <f t="shared" si="1"/>
        <v>rokwzgl=6 i lp=10</v>
      </c>
      <c r="L10" s="27" t="str">
        <f t="shared" si="1"/>
        <v>rokwzgl=7 i lp=10</v>
      </c>
      <c r="M10" s="27" t="str">
        <f t="shared" si="1"/>
        <v>rokwzgl=8 i lp=10</v>
      </c>
      <c r="N10" s="27" t="str">
        <f t="shared" ref="N10:W19" si="2">+"rokwzgl="&amp;N$9&amp;" i lp="&amp;$A10</f>
        <v>rokwzgl=9 i lp=10</v>
      </c>
      <c r="O10" s="27" t="str">
        <f t="shared" si="2"/>
        <v>rokwzgl=10 i lp=10</v>
      </c>
      <c r="P10" s="27" t="str">
        <f t="shared" si="2"/>
        <v>rokwzgl=11 i lp=10</v>
      </c>
      <c r="Q10" s="27" t="str">
        <f t="shared" si="2"/>
        <v>rokwzgl=12 i lp=10</v>
      </c>
      <c r="R10" s="27" t="str">
        <f t="shared" si="2"/>
        <v>rokwzgl=13 i lp=10</v>
      </c>
      <c r="S10" s="27" t="str">
        <f t="shared" si="2"/>
        <v>rokwzgl=14 i lp=10</v>
      </c>
      <c r="T10" s="27" t="str">
        <f t="shared" si="2"/>
        <v>rokwzgl=15 i lp=10</v>
      </c>
      <c r="U10" s="27" t="str">
        <f t="shared" si="2"/>
        <v>rokwzgl=16 i lp=10</v>
      </c>
      <c r="V10" s="27" t="str">
        <f t="shared" si="2"/>
        <v>rokwzgl=17 i lp=10</v>
      </c>
      <c r="W10" s="27" t="str">
        <f t="shared" si="2"/>
        <v>rokwzgl=18 i lp=10</v>
      </c>
      <c r="X10" s="27" t="str">
        <f t="shared" ref="X10:AH19" si="3">+"rokwzgl="&amp;X$9&amp;" i lp="&amp;$A10</f>
        <v>rokwzgl=19 i lp=10</v>
      </c>
      <c r="Y10" s="27" t="str">
        <f t="shared" si="3"/>
        <v>rokwzgl=20 i lp=10</v>
      </c>
      <c r="Z10" s="27" t="str">
        <f t="shared" si="3"/>
        <v>rokwzgl=21 i lp=10</v>
      </c>
      <c r="AA10" s="27" t="str">
        <f t="shared" si="3"/>
        <v>rokwzgl=22 i lp=10</v>
      </c>
      <c r="AB10" s="27" t="str">
        <f t="shared" si="3"/>
        <v>rokwzgl=23 i lp=10</v>
      </c>
      <c r="AC10" s="27" t="str">
        <f t="shared" si="3"/>
        <v>rokwzgl=24 i lp=10</v>
      </c>
      <c r="AD10" s="27" t="str">
        <f t="shared" si="3"/>
        <v>rokwzgl=25 i lp=10</v>
      </c>
      <c r="AE10" s="27" t="str">
        <f t="shared" si="3"/>
        <v>rokwzgl=26 i lp=10</v>
      </c>
      <c r="AF10" s="27" t="str">
        <f t="shared" si="3"/>
        <v>rokwzgl=27 i lp=10</v>
      </c>
      <c r="AG10" s="27" t="str">
        <f t="shared" si="3"/>
        <v>rokwzgl=28 i lp=10</v>
      </c>
      <c r="AH10" s="27" t="str">
        <f t="shared" si="3"/>
        <v>rokwzgl=29 i lp=10</v>
      </c>
    </row>
    <row r="11" spans="1:34">
      <c r="A11" s="26">
        <v>20</v>
      </c>
      <c r="B11" s="26" t="s">
        <v>136</v>
      </c>
      <c r="C11" s="27" t="s">
        <v>40</v>
      </c>
      <c r="D11" s="27" t="str">
        <f t="shared" si="1"/>
        <v>rokwzgl=0 i lp=20</v>
      </c>
      <c r="E11" s="27" t="str">
        <f t="shared" si="1"/>
        <v>rokwzgl=0 i lp=20</v>
      </c>
      <c r="F11" s="27" t="str">
        <f t="shared" si="1"/>
        <v>rokwzgl=1 i lp=20</v>
      </c>
      <c r="G11" s="27" t="str">
        <f t="shared" si="1"/>
        <v>rokwzgl=2 i lp=20</v>
      </c>
      <c r="H11" s="27" t="str">
        <f t="shared" si="1"/>
        <v>rokwzgl=3 i lp=20</v>
      </c>
      <c r="I11" s="27" t="str">
        <f t="shared" si="1"/>
        <v>rokwzgl=4 i lp=20</v>
      </c>
      <c r="J11" s="27" t="str">
        <f t="shared" si="1"/>
        <v>rokwzgl=5 i lp=20</v>
      </c>
      <c r="K11" s="27" t="str">
        <f t="shared" si="1"/>
        <v>rokwzgl=6 i lp=20</v>
      </c>
      <c r="L11" s="27" t="str">
        <f t="shared" si="1"/>
        <v>rokwzgl=7 i lp=20</v>
      </c>
      <c r="M11" s="27" t="str">
        <f t="shared" si="1"/>
        <v>rokwzgl=8 i lp=20</v>
      </c>
      <c r="N11" s="27" t="str">
        <f t="shared" si="2"/>
        <v>rokwzgl=9 i lp=20</v>
      </c>
      <c r="O11" s="27" t="str">
        <f t="shared" si="2"/>
        <v>rokwzgl=10 i lp=20</v>
      </c>
      <c r="P11" s="27" t="str">
        <f t="shared" si="2"/>
        <v>rokwzgl=11 i lp=20</v>
      </c>
      <c r="Q11" s="27" t="str">
        <f t="shared" si="2"/>
        <v>rokwzgl=12 i lp=20</v>
      </c>
      <c r="R11" s="27" t="str">
        <f t="shared" si="2"/>
        <v>rokwzgl=13 i lp=20</v>
      </c>
      <c r="S11" s="27" t="str">
        <f t="shared" si="2"/>
        <v>rokwzgl=14 i lp=20</v>
      </c>
      <c r="T11" s="27" t="str">
        <f t="shared" si="2"/>
        <v>rokwzgl=15 i lp=20</v>
      </c>
      <c r="U11" s="27" t="str">
        <f t="shared" si="2"/>
        <v>rokwzgl=16 i lp=20</v>
      </c>
      <c r="V11" s="27" t="str">
        <f t="shared" si="2"/>
        <v>rokwzgl=17 i lp=20</v>
      </c>
      <c r="W11" s="27" t="str">
        <f t="shared" si="2"/>
        <v>rokwzgl=18 i lp=20</v>
      </c>
      <c r="X11" s="27" t="str">
        <f t="shared" si="3"/>
        <v>rokwzgl=19 i lp=20</v>
      </c>
      <c r="Y11" s="27" t="str">
        <f t="shared" si="3"/>
        <v>rokwzgl=20 i lp=20</v>
      </c>
      <c r="Z11" s="27" t="str">
        <f t="shared" si="3"/>
        <v>rokwzgl=21 i lp=20</v>
      </c>
      <c r="AA11" s="27" t="str">
        <f t="shared" si="3"/>
        <v>rokwzgl=22 i lp=20</v>
      </c>
      <c r="AB11" s="27" t="str">
        <f t="shared" si="3"/>
        <v>rokwzgl=23 i lp=20</v>
      </c>
      <c r="AC11" s="27" t="str">
        <f t="shared" si="3"/>
        <v>rokwzgl=24 i lp=20</v>
      </c>
      <c r="AD11" s="27" t="str">
        <f t="shared" si="3"/>
        <v>rokwzgl=25 i lp=20</v>
      </c>
      <c r="AE11" s="27" t="str">
        <f t="shared" si="3"/>
        <v>rokwzgl=26 i lp=20</v>
      </c>
      <c r="AF11" s="27" t="str">
        <f t="shared" si="3"/>
        <v>rokwzgl=27 i lp=20</v>
      </c>
      <c r="AG11" s="27" t="str">
        <f t="shared" si="3"/>
        <v>rokwzgl=28 i lp=20</v>
      </c>
      <c r="AH11" s="27" t="str">
        <f t="shared" si="3"/>
        <v>rokwzgl=29 i lp=20</v>
      </c>
    </row>
    <row r="12" spans="1:34">
      <c r="A12" s="26">
        <v>30</v>
      </c>
      <c r="B12" s="26" t="s">
        <v>41</v>
      </c>
      <c r="C12" s="27" t="s">
        <v>42</v>
      </c>
      <c r="D12" s="27" t="str">
        <f t="shared" si="1"/>
        <v>rokwzgl=0 i lp=30</v>
      </c>
      <c r="E12" s="27" t="str">
        <f t="shared" si="1"/>
        <v>rokwzgl=0 i lp=30</v>
      </c>
      <c r="F12" s="27" t="str">
        <f t="shared" si="1"/>
        <v>rokwzgl=1 i lp=30</v>
      </c>
      <c r="G12" s="27" t="str">
        <f t="shared" si="1"/>
        <v>rokwzgl=2 i lp=30</v>
      </c>
      <c r="H12" s="27" t="str">
        <f t="shared" si="1"/>
        <v>rokwzgl=3 i lp=30</v>
      </c>
      <c r="I12" s="27" t="str">
        <f t="shared" si="1"/>
        <v>rokwzgl=4 i lp=30</v>
      </c>
      <c r="J12" s="27" t="str">
        <f t="shared" si="1"/>
        <v>rokwzgl=5 i lp=30</v>
      </c>
      <c r="K12" s="27" t="str">
        <f t="shared" si="1"/>
        <v>rokwzgl=6 i lp=30</v>
      </c>
      <c r="L12" s="27" t="str">
        <f t="shared" si="1"/>
        <v>rokwzgl=7 i lp=30</v>
      </c>
      <c r="M12" s="27" t="str">
        <f t="shared" si="1"/>
        <v>rokwzgl=8 i lp=30</v>
      </c>
      <c r="N12" s="27" t="str">
        <f t="shared" si="2"/>
        <v>rokwzgl=9 i lp=30</v>
      </c>
      <c r="O12" s="27" t="str">
        <f t="shared" si="2"/>
        <v>rokwzgl=10 i lp=30</v>
      </c>
      <c r="P12" s="27" t="str">
        <f t="shared" si="2"/>
        <v>rokwzgl=11 i lp=30</v>
      </c>
      <c r="Q12" s="27" t="str">
        <f t="shared" si="2"/>
        <v>rokwzgl=12 i lp=30</v>
      </c>
      <c r="R12" s="27" t="str">
        <f t="shared" si="2"/>
        <v>rokwzgl=13 i lp=30</v>
      </c>
      <c r="S12" s="27" t="str">
        <f t="shared" si="2"/>
        <v>rokwzgl=14 i lp=30</v>
      </c>
      <c r="T12" s="27" t="str">
        <f t="shared" si="2"/>
        <v>rokwzgl=15 i lp=30</v>
      </c>
      <c r="U12" s="27" t="str">
        <f t="shared" si="2"/>
        <v>rokwzgl=16 i lp=30</v>
      </c>
      <c r="V12" s="27" t="str">
        <f t="shared" si="2"/>
        <v>rokwzgl=17 i lp=30</v>
      </c>
      <c r="W12" s="27" t="str">
        <f t="shared" si="2"/>
        <v>rokwzgl=18 i lp=30</v>
      </c>
      <c r="X12" s="27" t="str">
        <f t="shared" si="3"/>
        <v>rokwzgl=19 i lp=30</v>
      </c>
      <c r="Y12" s="27" t="str">
        <f t="shared" si="3"/>
        <v>rokwzgl=20 i lp=30</v>
      </c>
      <c r="Z12" s="27" t="str">
        <f t="shared" si="3"/>
        <v>rokwzgl=21 i lp=30</v>
      </c>
      <c r="AA12" s="27" t="str">
        <f t="shared" si="3"/>
        <v>rokwzgl=22 i lp=30</v>
      </c>
      <c r="AB12" s="27" t="str">
        <f t="shared" si="3"/>
        <v>rokwzgl=23 i lp=30</v>
      </c>
      <c r="AC12" s="27" t="str">
        <f t="shared" si="3"/>
        <v>rokwzgl=24 i lp=30</v>
      </c>
      <c r="AD12" s="27" t="str">
        <f t="shared" si="3"/>
        <v>rokwzgl=25 i lp=30</v>
      </c>
      <c r="AE12" s="27" t="str">
        <f t="shared" si="3"/>
        <v>rokwzgl=26 i lp=30</v>
      </c>
      <c r="AF12" s="27" t="str">
        <f t="shared" si="3"/>
        <v>rokwzgl=27 i lp=30</v>
      </c>
      <c r="AG12" s="27" t="str">
        <f t="shared" si="3"/>
        <v>rokwzgl=28 i lp=30</v>
      </c>
      <c r="AH12" s="27" t="str">
        <f t="shared" si="3"/>
        <v>rokwzgl=29 i lp=30</v>
      </c>
    </row>
    <row r="13" spans="1:34">
      <c r="A13" s="26">
        <v>40</v>
      </c>
      <c r="B13" s="26" t="s">
        <v>43</v>
      </c>
      <c r="C13" s="27" t="s">
        <v>44</v>
      </c>
      <c r="D13" s="27" t="str">
        <f t="shared" si="1"/>
        <v>rokwzgl=0 i lp=40</v>
      </c>
      <c r="E13" s="27" t="str">
        <f t="shared" si="1"/>
        <v>rokwzgl=0 i lp=40</v>
      </c>
      <c r="F13" s="27" t="str">
        <f t="shared" si="1"/>
        <v>rokwzgl=1 i lp=40</v>
      </c>
      <c r="G13" s="27" t="str">
        <f t="shared" si="1"/>
        <v>rokwzgl=2 i lp=40</v>
      </c>
      <c r="H13" s="27" t="str">
        <f t="shared" si="1"/>
        <v>rokwzgl=3 i lp=40</v>
      </c>
      <c r="I13" s="27" t="str">
        <f t="shared" si="1"/>
        <v>rokwzgl=4 i lp=40</v>
      </c>
      <c r="J13" s="27" t="str">
        <f t="shared" si="1"/>
        <v>rokwzgl=5 i lp=40</v>
      </c>
      <c r="K13" s="27" t="str">
        <f t="shared" si="1"/>
        <v>rokwzgl=6 i lp=40</v>
      </c>
      <c r="L13" s="27" t="str">
        <f t="shared" si="1"/>
        <v>rokwzgl=7 i lp=40</v>
      </c>
      <c r="M13" s="27" t="str">
        <f t="shared" si="1"/>
        <v>rokwzgl=8 i lp=40</v>
      </c>
      <c r="N13" s="27" t="str">
        <f t="shared" si="2"/>
        <v>rokwzgl=9 i lp=40</v>
      </c>
      <c r="O13" s="27" t="str">
        <f t="shared" si="2"/>
        <v>rokwzgl=10 i lp=40</v>
      </c>
      <c r="P13" s="27" t="str">
        <f t="shared" si="2"/>
        <v>rokwzgl=11 i lp=40</v>
      </c>
      <c r="Q13" s="27" t="str">
        <f t="shared" si="2"/>
        <v>rokwzgl=12 i lp=40</v>
      </c>
      <c r="R13" s="27" t="str">
        <f t="shared" si="2"/>
        <v>rokwzgl=13 i lp=40</v>
      </c>
      <c r="S13" s="27" t="str">
        <f t="shared" si="2"/>
        <v>rokwzgl=14 i lp=40</v>
      </c>
      <c r="T13" s="27" t="str">
        <f t="shared" si="2"/>
        <v>rokwzgl=15 i lp=40</v>
      </c>
      <c r="U13" s="27" t="str">
        <f t="shared" si="2"/>
        <v>rokwzgl=16 i lp=40</v>
      </c>
      <c r="V13" s="27" t="str">
        <f t="shared" si="2"/>
        <v>rokwzgl=17 i lp=40</v>
      </c>
      <c r="W13" s="27" t="str">
        <f t="shared" si="2"/>
        <v>rokwzgl=18 i lp=40</v>
      </c>
      <c r="X13" s="27" t="str">
        <f t="shared" si="3"/>
        <v>rokwzgl=19 i lp=40</v>
      </c>
      <c r="Y13" s="27" t="str">
        <f t="shared" si="3"/>
        <v>rokwzgl=20 i lp=40</v>
      </c>
      <c r="Z13" s="27" t="str">
        <f t="shared" si="3"/>
        <v>rokwzgl=21 i lp=40</v>
      </c>
      <c r="AA13" s="27" t="str">
        <f t="shared" si="3"/>
        <v>rokwzgl=22 i lp=40</v>
      </c>
      <c r="AB13" s="27" t="str">
        <f t="shared" si="3"/>
        <v>rokwzgl=23 i lp=40</v>
      </c>
      <c r="AC13" s="27" t="str">
        <f t="shared" si="3"/>
        <v>rokwzgl=24 i lp=40</v>
      </c>
      <c r="AD13" s="27" t="str">
        <f t="shared" si="3"/>
        <v>rokwzgl=25 i lp=40</v>
      </c>
      <c r="AE13" s="27" t="str">
        <f t="shared" si="3"/>
        <v>rokwzgl=26 i lp=40</v>
      </c>
      <c r="AF13" s="27" t="str">
        <f t="shared" si="3"/>
        <v>rokwzgl=27 i lp=40</v>
      </c>
      <c r="AG13" s="27" t="str">
        <f t="shared" si="3"/>
        <v>rokwzgl=28 i lp=40</v>
      </c>
      <c r="AH13" s="27" t="str">
        <f t="shared" si="3"/>
        <v>rokwzgl=29 i lp=40</v>
      </c>
    </row>
    <row r="14" spans="1:34">
      <c r="A14" s="26">
        <v>50</v>
      </c>
      <c r="B14" s="26" t="s">
        <v>45</v>
      </c>
      <c r="C14" s="27" t="s">
        <v>46</v>
      </c>
      <c r="D14" s="27" t="str">
        <f t="shared" si="1"/>
        <v>rokwzgl=0 i lp=50</v>
      </c>
      <c r="E14" s="27" t="str">
        <f t="shared" si="1"/>
        <v>rokwzgl=0 i lp=50</v>
      </c>
      <c r="F14" s="27" t="str">
        <f t="shared" si="1"/>
        <v>rokwzgl=1 i lp=50</v>
      </c>
      <c r="G14" s="27" t="str">
        <f t="shared" si="1"/>
        <v>rokwzgl=2 i lp=50</v>
      </c>
      <c r="H14" s="27" t="str">
        <f t="shared" si="1"/>
        <v>rokwzgl=3 i lp=50</v>
      </c>
      <c r="I14" s="27" t="str">
        <f t="shared" si="1"/>
        <v>rokwzgl=4 i lp=50</v>
      </c>
      <c r="J14" s="27" t="str">
        <f t="shared" si="1"/>
        <v>rokwzgl=5 i lp=50</v>
      </c>
      <c r="K14" s="27" t="str">
        <f t="shared" si="1"/>
        <v>rokwzgl=6 i lp=50</v>
      </c>
      <c r="L14" s="27" t="str">
        <f t="shared" si="1"/>
        <v>rokwzgl=7 i lp=50</v>
      </c>
      <c r="M14" s="27" t="str">
        <f t="shared" si="1"/>
        <v>rokwzgl=8 i lp=50</v>
      </c>
      <c r="N14" s="27" t="str">
        <f t="shared" si="2"/>
        <v>rokwzgl=9 i lp=50</v>
      </c>
      <c r="O14" s="27" t="str">
        <f t="shared" si="2"/>
        <v>rokwzgl=10 i lp=50</v>
      </c>
      <c r="P14" s="27" t="str">
        <f t="shared" si="2"/>
        <v>rokwzgl=11 i lp=50</v>
      </c>
      <c r="Q14" s="27" t="str">
        <f t="shared" si="2"/>
        <v>rokwzgl=12 i lp=50</v>
      </c>
      <c r="R14" s="27" t="str">
        <f t="shared" si="2"/>
        <v>rokwzgl=13 i lp=50</v>
      </c>
      <c r="S14" s="27" t="str">
        <f t="shared" si="2"/>
        <v>rokwzgl=14 i lp=50</v>
      </c>
      <c r="T14" s="27" t="str">
        <f t="shared" si="2"/>
        <v>rokwzgl=15 i lp=50</v>
      </c>
      <c r="U14" s="27" t="str">
        <f t="shared" si="2"/>
        <v>rokwzgl=16 i lp=50</v>
      </c>
      <c r="V14" s="27" t="str">
        <f t="shared" si="2"/>
        <v>rokwzgl=17 i lp=50</v>
      </c>
      <c r="W14" s="27" t="str">
        <f t="shared" si="2"/>
        <v>rokwzgl=18 i lp=50</v>
      </c>
      <c r="X14" s="27" t="str">
        <f t="shared" si="3"/>
        <v>rokwzgl=19 i lp=50</v>
      </c>
      <c r="Y14" s="27" t="str">
        <f t="shared" si="3"/>
        <v>rokwzgl=20 i lp=50</v>
      </c>
      <c r="Z14" s="27" t="str">
        <f t="shared" si="3"/>
        <v>rokwzgl=21 i lp=50</v>
      </c>
      <c r="AA14" s="27" t="str">
        <f t="shared" si="3"/>
        <v>rokwzgl=22 i lp=50</v>
      </c>
      <c r="AB14" s="27" t="str">
        <f t="shared" si="3"/>
        <v>rokwzgl=23 i lp=50</v>
      </c>
      <c r="AC14" s="27" t="str">
        <f t="shared" si="3"/>
        <v>rokwzgl=24 i lp=50</v>
      </c>
      <c r="AD14" s="27" t="str">
        <f t="shared" si="3"/>
        <v>rokwzgl=25 i lp=50</v>
      </c>
      <c r="AE14" s="27" t="str">
        <f t="shared" si="3"/>
        <v>rokwzgl=26 i lp=50</v>
      </c>
      <c r="AF14" s="27" t="str">
        <f t="shared" si="3"/>
        <v>rokwzgl=27 i lp=50</v>
      </c>
      <c r="AG14" s="27" t="str">
        <f t="shared" si="3"/>
        <v>rokwzgl=28 i lp=50</v>
      </c>
      <c r="AH14" s="27" t="str">
        <f t="shared" si="3"/>
        <v>rokwzgl=29 i lp=50</v>
      </c>
    </row>
    <row r="15" spans="1:34">
      <c r="A15" s="26">
        <v>60</v>
      </c>
      <c r="B15" s="26" t="s">
        <v>47</v>
      </c>
      <c r="C15" s="27" t="s">
        <v>48</v>
      </c>
      <c r="D15" s="27" t="str">
        <f t="shared" si="1"/>
        <v>rokwzgl=0 i lp=60</v>
      </c>
      <c r="E15" s="27" t="str">
        <f t="shared" si="1"/>
        <v>rokwzgl=0 i lp=60</v>
      </c>
      <c r="F15" s="27" t="str">
        <f t="shared" si="1"/>
        <v>rokwzgl=1 i lp=60</v>
      </c>
      <c r="G15" s="27" t="str">
        <f t="shared" si="1"/>
        <v>rokwzgl=2 i lp=60</v>
      </c>
      <c r="H15" s="27" t="str">
        <f t="shared" si="1"/>
        <v>rokwzgl=3 i lp=60</v>
      </c>
      <c r="I15" s="27" t="str">
        <f t="shared" si="1"/>
        <v>rokwzgl=4 i lp=60</v>
      </c>
      <c r="J15" s="27" t="str">
        <f t="shared" si="1"/>
        <v>rokwzgl=5 i lp=60</v>
      </c>
      <c r="K15" s="27" t="str">
        <f t="shared" si="1"/>
        <v>rokwzgl=6 i lp=60</v>
      </c>
      <c r="L15" s="27" t="str">
        <f t="shared" si="1"/>
        <v>rokwzgl=7 i lp=60</v>
      </c>
      <c r="M15" s="27" t="str">
        <f t="shared" si="1"/>
        <v>rokwzgl=8 i lp=60</v>
      </c>
      <c r="N15" s="27" t="str">
        <f t="shared" si="2"/>
        <v>rokwzgl=9 i lp=60</v>
      </c>
      <c r="O15" s="27" t="str">
        <f t="shared" si="2"/>
        <v>rokwzgl=10 i lp=60</v>
      </c>
      <c r="P15" s="27" t="str">
        <f t="shared" si="2"/>
        <v>rokwzgl=11 i lp=60</v>
      </c>
      <c r="Q15" s="27" t="str">
        <f t="shared" si="2"/>
        <v>rokwzgl=12 i lp=60</v>
      </c>
      <c r="R15" s="27" t="str">
        <f t="shared" si="2"/>
        <v>rokwzgl=13 i lp=60</v>
      </c>
      <c r="S15" s="27" t="str">
        <f t="shared" si="2"/>
        <v>rokwzgl=14 i lp=60</v>
      </c>
      <c r="T15" s="27" t="str">
        <f t="shared" si="2"/>
        <v>rokwzgl=15 i lp=60</v>
      </c>
      <c r="U15" s="27" t="str">
        <f t="shared" si="2"/>
        <v>rokwzgl=16 i lp=60</v>
      </c>
      <c r="V15" s="27" t="str">
        <f t="shared" si="2"/>
        <v>rokwzgl=17 i lp=60</v>
      </c>
      <c r="W15" s="27" t="str">
        <f t="shared" si="2"/>
        <v>rokwzgl=18 i lp=60</v>
      </c>
      <c r="X15" s="27" t="str">
        <f t="shared" si="3"/>
        <v>rokwzgl=19 i lp=60</v>
      </c>
      <c r="Y15" s="27" t="str">
        <f t="shared" si="3"/>
        <v>rokwzgl=20 i lp=60</v>
      </c>
      <c r="Z15" s="27" t="str">
        <f t="shared" si="3"/>
        <v>rokwzgl=21 i lp=60</v>
      </c>
      <c r="AA15" s="27" t="str">
        <f t="shared" si="3"/>
        <v>rokwzgl=22 i lp=60</v>
      </c>
      <c r="AB15" s="27" t="str">
        <f t="shared" si="3"/>
        <v>rokwzgl=23 i lp=60</v>
      </c>
      <c r="AC15" s="27" t="str">
        <f t="shared" si="3"/>
        <v>rokwzgl=24 i lp=60</v>
      </c>
      <c r="AD15" s="27" t="str">
        <f t="shared" si="3"/>
        <v>rokwzgl=25 i lp=60</v>
      </c>
      <c r="AE15" s="27" t="str">
        <f t="shared" si="3"/>
        <v>rokwzgl=26 i lp=60</v>
      </c>
      <c r="AF15" s="27" t="str">
        <f t="shared" si="3"/>
        <v>rokwzgl=27 i lp=60</v>
      </c>
      <c r="AG15" s="27" t="str">
        <f t="shared" si="3"/>
        <v>rokwzgl=28 i lp=60</v>
      </c>
      <c r="AH15" s="27" t="str">
        <f t="shared" si="3"/>
        <v>rokwzgl=29 i lp=60</v>
      </c>
    </row>
    <row r="16" spans="1:34">
      <c r="A16" s="26">
        <v>70</v>
      </c>
      <c r="B16" s="26" t="s">
        <v>49</v>
      </c>
      <c r="C16" s="27" t="s">
        <v>50</v>
      </c>
      <c r="D16" s="27" t="str">
        <f t="shared" si="1"/>
        <v>rokwzgl=0 i lp=70</v>
      </c>
      <c r="E16" s="27" t="str">
        <f t="shared" si="1"/>
        <v>rokwzgl=0 i lp=70</v>
      </c>
      <c r="F16" s="27" t="str">
        <f t="shared" si="1"/>
        <v>rokwzgl=1 i lp=70</v>
      </c>
      <c r="G16" s="27" t="str">
        <f t="shared" si="1"/>
        <v>rokwzgl=2 i lp=70</v>
      </c>
      <c r="H16" s="27" t="str">
        <f t="shared" si="1"/>
        <v>rokwzgl=3 i lp=70</v>
      </c>
      <c r="I16" s="27" t="str">
        <f t="shared" si="1"/>
        <v>rokwzgl=4 i lp=70</v>
      </c>
      <c r="J16" s="27" t="str">
        <f t="shared" si="1"/>
        <v>rokwzgl=5 i lp=70</v>
      </c>
      <c r="K16" s="27" t="str">
        <f t="shared" si="1"/>
        <v>rokwzgl=6 i lp=70</v>
      </c>
      <c r="L16" s="27" t="str">
        <f t="shared" si="1"/>
        <v>rokwzgl=7 i lp=70</v>
      </c>
      <c r="M16" s="27" t="str">
        <f t="shared" si="1"/>
        <v>rokwzgl=8 i lp=70</v>
      </c>
      <c r="N16" s="27" t="str">
        <f t="shared" si="2"/>
        <v>rokwzgl=9 i lp=70</v>
      </c>
      <c r="O16" s="27" t="str">
        <f t="shared" si="2"/>
        <v>rokwzgl=10 i lp=70</v>
      </c>
      <c r="P16" s="27" t="str">
        <f t="shared" si="2"/>
        <v>rokwzgl=11 i lp=70</v>
      </c>
      <c r="Q16" s="27" t="str">
        <f t="shared" si="2"/>
        <v>rokwzgl=12 i lp=70</v>
      </c>
      <c r="R16" s="27" t="str">
        <f t="shared" si="2"/>
        <v>rokwzgl=13 i lp=70</v>
      </c>
      <c r="S16" s="27" t="str">
        <f t="shared" si="2"/>
        <v>rokwzgl=14 i lp=70</v>
      </c>
      <c r="T16" s="27" t="str">
        <f t="shared" si="2"/>
        <v>rokwzgl=15 i lp=70</v>
      </c>
      <c r="U16" s="27" t="str">
        <f t="shared" si="2"/>
        <v>rokwzgl=16 i lp=70</v>
      </c>
      <c r="V16" s="27" t="str">
        <f t="shared" si="2"/>
        <v>rokwzgl=17 i lp=70</v>
      </c>
      <c r="W16" s="27" t="str">
        <f t="shared" si="2"/>
        <v>rokwzgl=18 i lp=70</v>
      </c>
      <c r="X16" s="27" t="str">
        <f t="shared" si="3"/>
        <v>rokwzgl=19 i lp=70</v>
      </c>
      <c r="Y16" s="27" t="str">
        <f t="shared" si="3"/>
        <v>rokwzgl=20 i lp=70</v>
      </c>
      <c r="Z16" s="27" t="str">
        <f t="shared" si="3"/>
        <v>rokwzgl=21 i lp=70</v>
      </c>
      <c r="AA16" s="27" t="str">
        <f t="shared" si="3"/>
        <v>rokwzgl=22 i lp=70</v>
      </c>
      <c r="AB16" s="27" t="str">
        <f t="shared" si="3"/>
        <v>rokwzgl=23 i lp=70</v>
      </c>
      <c r="AC16" s="27" t="str">
        <f t="shared" si="3"/>
        <v>rokwzgl=24 i lp=70</v>
      </c>
      <c r="AD16" s="27" t="str">
        <f t="shared" si="3"/>
        <v>rokwzgl=25 i lp=70</v>
      </c>
      <c r="AE16" s="27" t="str">
        <f t="shared" si="3"/>
        <v>rokwzgl=26 i lp=70</v>
      </c>
      <c r="AF16" s="27" t="str">
        <f t="shared" si="3"/>
        <v>rokwzgl=27 i lp=70</v>
      </c>
      <c r="AG16" s="27" t="str">
        <f t="shared" si="3"/>
        <v>rokwzgl=28 i lp=70</v>
      </c>
      <c r="AH16" s="27" t="str">
        <f t="shared" si="3"/>
        <v>rokwzgl=29 i lp=70</v>
      </c>
    </row>
    <row r="17" spans="1:34">
      <c r="A17" s="26">
        <v>80</v>
      </c>
      <c r="B17" s="26" t="s">
        <v>51</v>
      </c>
      <c r="C17" s="27" t="s">
        <v>52</v>
      </c>
      <c r="D17" s="27" t="str">
        <f t="shared" si="1"/>
        <v>rokwzgl=0 i lp=80</v>
      </c>
      <c r="E17" s="27" t="str">
        <f t="shared" si="1"/>
        <v>rokwzgl=0 i lp=80</v>
      </c>
      <c r="F17" s="27" t="str">
        <f t="shared" si="1"/>
        <v>rokwzgl=1 i lp=80</v>
      </c>
      <c r="G17" s="27" t="str">
        <f t="shared" si="1"/>
        <v>rokwzgl=2 i lp=80</v>
      </c>
      <c r="H17" s="27" t="str">
        <f t="shared" si="1"/>
        <v>rokwzgl=3 i lp=80</v>
      </c>
      <c r="I17" s="27" t="str">
        <f t="shared" si="1"/>
        <v>rokwzgl=4 i lp=80</v>
      </c>
      <c r="J17" s="27" t="str">
        <f t="shared" si="1"/>
        <v>rokwzgl=5 i lp=80</v>
      </c>
      <c r="K17" s="27" t="str">
        <f t="shared" si="1"/>
        <v>rokwzgl=6 i lp=80</v>
      </c>
      <c r="L17" s="27" t="str">
        <f t="shared" si="1"/>
        <v>rokwzgl=7 i lp=80</v>
      </c>
      <c r="M17" s="27" t="str">
        <f t="shared" si="1"/>
        <v>rokwzgl=8 i lp=80</v>
      </c>
      <c r="N17" s="27" t="str">
        <f t="shared" si="2"/>
        <v>rokwzgl=9 i lp=80</v>
      </c>
      <c r="O17" s="27" t="str">
        <f t="shared" si="2"/>
        <v>rokwzgl=10 i lp=80</v>
      </c>
      <c r="P17" s="27" t="str">
        <f t="shared" si="2"/>
        <v>rokwzgl=11 i lp=80</v>
      </c>
      <c r="Q17" s="27" t="str">
        <f t="shared" si="2"/>
        <v>rokwzgl=12 i lp=80</v>
      </c>
      <c r="R17" s="27" t="str">
        <f t="shared" si="2"/>
        <v>rokwzgl=13 i lp=80</v>
      </c>
      <c r="S17" s="27" t="str">
        <f t="shared" si="2"/>
        <v>rokwzgl=14 i lp=80</v>
      </c>
      <c r="T17" s="27" t="str">
        <f t="shared" si="2"/>
        <v>rokwzgl=15 i lp=80</v>
      </c>
      <c r="U17" s="27" t="str">
        <f t="shared" si="2"/>
        <v>rokwzgl=16 i lp=80</v>
      </c>
      <c r="V17" s="27" t="str">
        <f t="shared" si="2"/>
        <v>rokwzgl=17 i lp=80</v>
      </c>
      <c r="W17" s="27" t="str">
        <f t="shared" si="2"/>
        <v>rokwzgl=18 i lp=80</v>
      </c>
      <c r="X17" s="27" t="str">
        <f t="shared" si="3"/>
        <v>rokwzgl=19 i lp=80</v>
      </c>
      <c r="Y17" s="27" t="str">
        <f t="shared" si="3"/>
        <v>rokwzgl=20 i lp=80</v>
      </c>
      <c r="Z17" s="27" t="str">
        <f t="shared" si="3"/>
        <v>rokwzgl=21 i lp=80</v>
      </c>
      <c r="AA17" s="27" t="str">
        <f t="shared" si="3"/>
        <v>rokwzgl=22 i lp=80</v>
      </c>
      <c r="AB17" s="27" t="str">
        <f t="shared" si="3"/>
        <v>rokwzgl=23 i lp=80</v>
      </c>
      <c r="AC17" s="27" t="str">
        <f t="shared" si="3"/>
        <v>rokwzgl=24 i lp=80</v>
      </c>
      <c r="AD17" s="27" t="str">
        <f t="shared" si="3"/>
        <v>rokwzgl=25 i lp=80</v>
      </c>
      <c r="AE17" s="27" t="str">
        <f t="shared" si="3"/>
        <v>rokwzgl=26 i lp=80</v>
      </c>
      <c r="AF17" s="27" t="str">
        <f t="shared" si="3"/>
        <v>rokwzgl=27 i lp=80</v>
      </c>
      <c r="AG17" s="27" t="str">
        <f t="shared" si="3"/>
        <v>rokwzgl=28 i lp=80</v>
      </c>
      <c r="AH17" s="27" t="str">
        <f t="shared" si="3"/>
        <v>rokwzgl=29 i lp=80</v>
      </c>
    </row>
    <row r="18" spans="1:34">
      <c r="A18" s="26">
        <v>90</v>
      </c>
      <c r="B18" s="26" t="s">
        <v>137</v>
      </c>
      <c r="C18" s="27" t="s">
        <v>53</v>
      </c>
      <c r="D18" s="27" t="str">
        <f t="shared" si="1"/>
        <v>rokwzgl=0 i lp=90</v>
      </c>
      <c r="E18" s="27" t="str">
        <f t="shared" si="1"/>
        <v>rokwzgl=0 i lp=90</v>
      </c>
      <c r="F18" s="27" t="str">
        <f t="shared" si="1"/>
        <v>rokwzgl=1 i lp=90</v>
      </c>
      <c r="G18" s="27" t="str">
        <f t="shared" si="1"/>
        <v>rokwzgl=2 i lp=90</v>
      </c>
      <c r="H18" s="27" t="str">
        <f t="shared" si="1"/>
        <v>rokwzgl=3 i lp=90</v>
      </c>
      <c r="I18" s="27" t="str">
        <f t="shared" si="1"/>
        <v>rokwzgl=4 i lp=90</v>
      </c>
      <c r="J18" s="27" t="str">
        <f t="shared" si="1"/>
        <v>rokwzgl=5 i lp=90</v>
      </c>
      <c r="K18" s="27" t="str">
        <f t="shared" si="1"/>
        <v>rokwzgl=6 i lp=90</v>
      </c>
      <c r="L18" s="27" t="str">
        <f t="shared" si="1"/>
        <v>rokwzgl=7 i lp=90</v>
      </c>
      <c r="M18" s="27" t="str">
        <f t="shared" si="1"/>
        <v>rokwzgl=8 i lp=90</v>
      </c>
      <c r="N18" s="27" t="str">
        <f t="shared" si="2"/>
        <v>rokwzgl=9 i lp=90</v>
      </c>
      <c r="O18" s="27" t="str">
        <f t="shared" si="2"/>
        <v>rokwzgl=10 i lp=90</v>
      </c>
      <c r="P18" s="27" t="str">
        <f t="shared" si="2"/>
        <v>rokwzgl=11 i lp=90</v>
      </c>
      <c r="Q18" s="27" t="str">
        <f t="shared" si="2"/>
        <v>rokwzgl=12 i lp=90</v>
      </c>
      <c r="R18" s="27" t="str">
        <f t="shared" si="2"/>
        <v>rokwzgl=13 i lp=90</v>
      </c>
      <c r="S18" s="27" t="str">
        <f t="shared" si="2"/>
        <v>rokwzgl=14 i lp=90</v>
      </c>
      <c r="T18" s="27" t="str">
        <f t="shared" si="2"/>
        <v>rokwzgl=15 i lp=90</v>
      </c>
      <c r="U18" s="27" t="str">
        <f t="shared" si="2"/>
        <v>rokwzgl=16 i lp=90</v>
      </c>
      <c r="V18" s="27" t="str">
        <f t="shared" si="2"/>
        <v>rokwzgl=17 i lp=90</v>
      </c>
      <c r="W18" s="27" t="str">
        <f t="shared" si="2"/>
        <v>rokwzgl=18 i lp=90</v>
      </c>
      <c r="X18" s="27" t="str">
        <f t="shared" si="3"/>
        <v>rokwzgl=19 i lp=90</v>
      </c>
      <c r="Y18" s="27" t="str">
        <f t="shared" si="3"/>
        <v>rokwzgl=20 i lp=90</v>
      </c>
      <c r="Z18" s="27" t="str">
        <f t="shared" si="3"/>
        <v>rokwzgl=21 i lp=90</v>
      </c>
      <c r="AA18" s="27" t="str">
        <f t="shared" si="3"/>
        <v>rokwzgl=22 i lp=90</v>
      </c>
      <c r="AB18" s="27" t="str">
        <f t="shared" si="3"/>
        <v>rokwzgl=23 i lp=90</v>
      </c>
      <c r="AC18" s="27" t="str">
        <f t="shared" si="3"/>
        <v>rokwzgl=24 i lp=90</v>
      </c>
      <c r="AD18" s="27" t="str">
        <f t="shared" si="3"/>
        <v>rokwzgl=25 i lp=90</v>
      </c>
      <c r="AE18" s="27" t="str">
        <f t="shared" si="3"/>
        <v>rokwzgl=26 i lp=90</v>
      </c>
      <c r="AF18" s="27" t="str">
        <f t="shared" si="3"/>
        <v>rokwzgl=27 i lp=90</v>
      </c>
      <c r="AG18" s="27" t="str">
        <f t="shared" si="3"/>
        <v>rokwzgl=28 i lp=90</v>
      </c>
      <c r="AH18" s="27" t="str">
        <f t="shared" si="3"/>
        <v>rokwzgl=29 i lp=90</v>
      </c>
    </row>
    <row r="19" spans="1:34">
      <c r="A19" s="26">
        <v>100</v>
      </c>
      <c r="B19" s="26" t="s">
        <v>54</v>
      </c>
      <c r="C19" s="27" t="s">
        <v>55</v>
      </c>
      <c r="D19" s="27" t="str">
        <f t="shared" si="1"/>
        <v>rokwzgl=0 i lp=100</v>
      </c>
      <c r="E19" s="27" t="str">
        <f t="shared" si="1"/>
        <v>rokwzgl=0 i lp=100</v>
      </c>
      <c r="F19" s="27" t="str">
        <f t="shared" si="1"/>
        <v>rokwzgl=1 i lp=100</v>
      </c>
      <c r="G19" s="27" t="str">
        <f t="shared" si="1"/>
        <v>rokwzgl=2 i lp=100</v>
      </c>
      <c r="H19" s="27" t="str">
        <f t="shared" si="1"/>
        <v>rokwzgl=3 i lp=100</v>
      </c>
      <c r="I19" s="27" t="str">
        <f t="shared" si="1"/>
        <v>rokwzgl=4 i lp=100</v>
      </c>
      <c r="J19" s="27" t="str">
        <f t="shared" si="1"/>
        <v>rokwzgl=5 i lp=100</v>
      </c>
      <c r="K19" s="27" t="str">
        <f t="shared" si="1"/>
        <v>rokwzgl=6 i lp=100</v>
      </c>
      <c r="L19" s="27" t="str">
        <f t="shared" si="1"/>
        <v>rokwzgl=7 i lp=100</v>
      </c>
      <c r="M19" s="27" t="str">
        <f t="shared" si="1"/>
        <v>rokwzgl=8 i lp=100</v>
      </c>
      <c r="N19" s="27" t="str">
        <f t="shared" si="2"/>
        <v>rokwzgl=9 i lp=100</v>
      </c>
      <c r="O19" s="27" t="str">
        <f t="shared" si="2"/>
        <v>rokwzgl=10 i lp=100</v>
      </c>
      <c r="P19" s="27" t="str">
        <f t="shared" si="2"/>
        <v>rokwzgl=11 i lp=100</v>
      </c>
      <c r="Q19" s="27" t="str">
        <f t="shared" si="2"/>
        <v>rokwzgl=12 i lp=100</v>
      </c>
      <c r="R19" s="27" t="str">
        <f t="shared" si="2"/>
        <v>rokwzgl=13 i lp=100</v>
      </c>
      <c r="S19" s="27" t="str">
        <f t="shared" si="2"/>
        <v>rokwzgl=14 i lp=100</v>
      </c>
      <c r="T19" s="27" t="str">
        <f t="shared" si="2"/>
        <v>rokwzgl=15 i lp=100</v>
      </c>
      <c r="U19" s="27" t="str">
        <f t="shared" si="2"/>
        <v>rokwzgl=16 i lp=100</v>
      </c>
      <c r="V19" s="27" t="str">
        <f t="shared" si="2"/>
        <v>rokwzgl=17 i lp=100</v>
      </c>
      <c r="W19" s="27" t="str">
        <f t="shared" si="2"/>
        <v>rokwzgl=18 i lp=100</v>
      </c>
      <c r="X19" s="27" t="str">
        <f t="shared" si="3"/>
        <v>rokwzgl=19 i lp=100</v>
      </c>
      <c r="Y19" s="27" t="str">
        <f t="shared" si="3"/>
        <v>rokwzgl=20 i lp=100</v>
      </c>
      <c r="Z19" s="27" t="str">
        <f t="shared" si="3"/>
        <v>rokwzgl=21 i lp=100</v>
      </c>
      <c r="AA19" s="27" t="str">
        <f t="shared" si="3"/>
        <v>rokwzgl=22 i lp=100</v>
      </c>
      <c r="AB19" s="27" t="str">
        <f t="shared" si="3"/>
        <v>rokwzgl=23 i lp=100</v>
      </c>
      <c r="AC19" s="27" t="str">
        <f t="shared" si="3"/>
        <v>rokwzgl=24 i lp=100</v>
      </c>
      <c r="AD19" s="27" t="str">
        <f t="shared" si="3"/>
        <v>rokwzgl=25 i lp=100</v>
      </c>
      <c r="AE19" s="27" t="str">
        <f t="shared" si="3"/>
        <v>rokwzgl=26 i lp=100</v>
      </c>
      <c r="AF19" s="27" t="str">
        <f t="shared" si="3"/>
        <v>rokwzgl=27 i lp=100</v>
      </c>
      <c r="AG19" s="27" t="str">
        <f t="shared" si="3"/>
        <v>rokwzgl=28 i lp=100</v>
      </c>
      <c r="AH19" s="27" t="str">
        <f t="shared" si="3"/>
        <v>rokwzgl=29 i lp=100</v>
      </c>
    </row>
    <row r="20" spans="1:34">
      <c r="A20" s="26">
        <v>110</v>
      </c>
      <c r="B20" s="26" t="s">
        <v>56</v>
      </c>
      <c r="C20" s="27" t="s">
        <v>57</v>
      </c>
      <c r="D20" s="27" t="str">
        <f t="shared" ref="D20:M35" si="4">+"rokwzgl="&amp;D$9&amp;" i lp="&amp;$A20</f>
        <v>rokwzgl=0 i lp=110</v>
      </c>
      <c r="E20" s="27" t="str">
        <f t="shared" si="4"/>
        <v>rokwzgl=0 i lp=110</v>
      </c>
      <c r="F20" s="27" t="str">
        <f t="shared" si="4"/>
        <v>rokwzgl=1 i lp=110</v>
      </c>
      <c r="G20" s="27" t="str">
        <f t="shared" si="4"/>
        <v>rokwzgl=2 i lp=110</v>
      </c>
      <c r="H20" s="27" t="str">
        <f t="shared" si="4"/>
        <v>rokwzgl=3 i lp=110</v>
      </c>
      <c r="I20" s="27" t="str">
        <f t="shared" si="4"/>
        <v>rokwzgl=4 i lp=110</v>
      </c>
      <c r="J20" s="27" t="str">
        <f t="shared" si="4"/>
        <v>rokwzgl=5 i lp=110</v>
      </c>
      <c r="K20" s="27" t="str">
        <f t="shared" si="4"/>
        <v>rokwzgl=6 i lp=110</v>
      </c>
      <c r="L20" s="27" t="str">
        <f t="shared" si="4"/>
        <v>rokwzgl=7 i lp=110</v>
      </c>
      <c r="M20" s="27" t="str">
        <f t="shared" si="4"/>
        <v>rokwzgl=8 i lp=110</v>
      </c>
      <c r="N20" s="27" t="str">
        <f t="shared" ref="N20:W35" si="5">+"rokwzgl="&amp;N$9&amp;" i lp="&amp;$A20</f>
        <v>rokwzgl=9 i lp=110</v>
      </c>
      <c r="O20" s="27" t="str">
        <f t="shared" si="5"/>
        <v>rokwzgl=10 i lp=110</v>
      </c>
      <c r="P20" s="27" t="str">
        <f t="shared" si="5"/>
        <v>rokwzgl=11 i lp=110</v>
      </c>
      <c r="Q20" s="27" t="str">
        <f t="shared" si="5"/>
        <v>rokwzgl=12 i lp=110</v>
      </c>
      <c r="R20" s="27" t="str">
        <f t="shared" si="5"/>
        <v>rokwzgl=13 i lp=110</v>
      </c>
      <c r="S20" s="27" t="str">
        <f t="shared" si="5"/>
        <v>rokwzgl=14 i lp=110</v>
      </c>
      <c r="T20" s="27" t="str">
        <f t="shared" si="5"/>
        <v>rokwzgl=15 i lp=110</v>
      </c>
      <c r="U20" s="27" t="str">
        <f t="shared" si="5"/>
        <v>rokwzgl=16 i lp=110</v>
      </c>
      <c r="V20" s="27" t="str">
        <f t="shared" si="5"/>
        <v>rokwzgl=17 i lp=110</v>
      </c>
      <c r="W20" s="27" t="str">
        <f t="shared" si="5"/>
        <v>rokwzgl=18 i lp=110</v>
      </c>
      <c r="X20" s="27" t="str">
        <f t="shared" ref="X20:AH35" si="6">+"rokwzgl="&amp;X$9&amp;" i lp="&amp;$A20</f>
        <v>rokwzgl=19 i lp=110</v>
      </c>
      <c r="Y20" s="27" t="str">
        <f t="shared" si="6"/>
        <v>rokwzgl=20 i lp=110</v>
      </c>
      <c r="Z20" s="27" t="str">
        <f t="shared" si="6"/>
        <v>rokwzgl=21 i lp=110</v>
      </c>
      <c r="AA20" s="27" t="str">
        <f t="shared" si="6"/>
        <v>rokwzgl=22 i lp=110</v>
      </c>
      <c r="AB20" s="27" t="str">
        <f t="shared" si="6"/>
        <v>rokwzgl=23 i lp=110</v>
      </c>
      <c r="AC20" s="27" t="str">
        <f t="shared" si="6"/>
        <v>rokwzgl=24 i lp=110</v>
      </c>
      <c r="AD20" s="27" t="str">
        <f t="shared" si="6"/>
        <v>rokwzgl=25 i lp=110</v>
      </c>
      <c r="AE20" s="27" t="str">
        <f t="shared" si="6"/>
        <v>rokwzgl=26 i lp=110</v>
      </c>
      <c r="AF20" s="27" t="str">
        <f t="shared" si="6"/>
        <v>rokwzgl=27 i lp=110</v>
      </c>
      <c r="AG20" s="27" t="str">
        <f t="shared" si="6"/>
        <v>rokwzgl=28 i lp=110</v>
      </c>
      <c r="AH20" s="27" t="str">
        <f t="shared" si="6"/>
        <v>rokwzgl=29 i lp=110</v>
      </c>
    </row>
    <row r="21" spans="1:34">
      <c r="A21" s="26">
        <v>120</v>
      </c>
      <c r="B21" s="26">
        <v>2</v>
      </c>
      <c r="C21" s="27" t="s">
        <v>19</v>
      </c>
      <c r="D21" s="27" t="str">
        <f t="shared" si="4"/>
        <v>rokwzgl=0 i lp=120</v>
      </c>
      <c r="E21" s="27" t="str">
        <f t="shared" si="4"/>
        <v>rokwzgl=0 i lp=120</v>
      </c>
      <c r="F21" s="27" t="str">
        <f t="shared" si="4"/>
        <v>rokwzgl=1 i lp=120</v>
      </c>
      <c r="G21" s="27" t="str">
        <f t="shared" si="4"/>
        <v>rokwzgl=2 i lp=120</v>
      </c>
      <c r="H21" s="27" t="str">
        <f t="shared" si="4"/>
        <v>rokwzgl=3 i lp=120</v>
      </c>
      <c r="I21" s="27" t="str">
        <f t="shared" si="4"/>
        <v>rokwzgl=4 i lp=120</v>
      </c>
      <c r="J21" s="27" t="str">
        <f t="shared" si="4"/>
        <v>rokwzgl=5 i lp=120</v>
      </c>
      <c r="K21" s="27" t="str">
        <f t="shared" si="4"/>
        <v>rokwzgl=6 i lp=120</v>
      </c>
      <c r="L21" s="27" t="str">
        <f t="shared" si="4"/>
        <v>rokwzgl=7 i lp=120</v>
      </c>
      <c r="M21" s="27" t="str">
        <f t="shared" si="4"/>
        <v>rokwzgl=8 i lp=120</v>
      </c>
      <c r="N21" s="27" t="str">
        <f t="shared" si="5"/>
        <v>rokwzgl=9 i lp=120</v>
      </c>
      <c r="O21" s="27" t="str">
        <f t="shared" si="5"/>
        <v>rokwzgl=10 i lp=120</v>
      </c>
      <c r="P21" s="27" t="str">
        <f t="shared" si="5"/>
        <v>rokwzgl=11 i lp=120</v>
      </c>
      <c r="Q21" s="27" t="str">
        <f t="shared" si="5"/>
        <v>rokwzgl=12 i lp=120</v>
      </c>
      <c r="R21" s="27" t="str">
        <f t="shared" si="5"/>
        <v>rokwzgl=13 i lp=120</v>
      </c>
      <c r="S21" s="27" t="str">
        <f t="shared" si="5"/>
        <v>rokwzgl=14 i lp=120</v>
      </c>
      <c r="T21" s="27" t="str">
        <f t="shared" si="5"/>
        <v>rokwzgl=15 i lp=120</v>
      </c>
      <c r="U21" s="27" t="str">
        <f t="shared" si="5"/>
        <v>rokwzgl=16 i lp=120</v>
      </c>
      <c r="V21" s="27" t="str">
        <f t="shared" si="5"/>
        <v>rokwzgl=17 i lp=120</v>
      </c>
      <c r="W21" s="27" t="str">
        <f t="shared" si="5"/>
        <v>rokwzgl=18 i lp=120</v>
      </c>
      <c r="X21" s="27" t="str">
        <f t="shared" si="6"/>
        <v>rokwzgl=19 i lp=120</v>
      </c>
      <c r="Y21" s="27" t="str">
        <f t="shared" si="6"/>
        <v>rokwzgl=20 i lp=120</v>
      </c>
      <c r="Z21" s="27" t="str">
        <f t="shared" si="6"/>
        <v>rokwzgl=21 i lp=120</v>
      </c>
      <c r="AA21" s="27" t="str">
        <f t="shared" si="6"/>
        <v>rokwzgl=22 i lp=120</v>
      </c>
      <c r="AB21" s="27" t="str">
        <f t="shared" si="6"/>
        <v>rokwzgl=23 i lp=120</v>
      </c>
      <c r="AC21" s="27" t="str">
        <f t="shared" si="6"/>
        <v>rokwzgl=24 i lp=120</v>
      </c>
      <c r="AD21" s="27" t="str">
        <f t="shared" si="6"/>
        <v>rokwzgl=25 i lp=120</v>
      </c>
      <c r="AE21" s="27" t="str">
        <f t="shared" si="6"/>
        <v>rokwzgl=26 i lp=120</v>
      </c>
      <c r="AF21" s="27" t="str">
        <f t="shared" si="6"/>
        <v>rokwzgl=27 i lp=120</v>
      </c>
      <c r="AG21" s="27" t="str">
        <f t="shared" si="6"/>
        <v>rokwzgl=28 i lp=120</v>
      </c>
      <c r="AH21" s="27" t="str">
        <f t="shared" si="6"/>
        <v>rokwzgl=29 i lp=120</v>
      </c>
    </row>
    <row r="22" spans="1:34">
      <c r="A22" s="26">
        <v>130</v>
      </c>
      <c r="B22" s="26" t="s">
        <v>138</v>
      </c>
      <c r="C22" s="27" t="s">
        <v>58</v>
      </c>
      <c r="D22" s="27" t="str">
        <f t="shared" si="4"/>
        <v>rokwzgl=0 i lp=130</v>
      </c>
      <c r="E22" s="27" t="str">
        <f t="shared" si="4"/>
        <v>rokwzgl=0 i lp=130</v>
      </c>
      <c r="F22" s="27" t="str">
        <f t="shared" si="4"/>
        <v>rokwzgl=1 i lp=130</v>
      </c>
      <c r="G22" s="27" t="str">
        <f t="shared" si="4"/>
        <v>rokwzgl=2 i lp=130</v>
      </c>
      <c r="H22" s="27" t="str">
        <f t="shared" si="4"/>
        <v>rokwzgl=3 i lp=130</v>
      </c>
      <c r="I22" s="27" t="str">
        <f t="shared" si="4"/>
        <v>rokwzgl=4 i lp=130</v>
      </c>
      <c r="J22" s="27" t="str">
        <f t="shared" si="4"/>
        <v>rokwzgl=5 i lp=130</v>
      </c>
      <c r="K22" s="27" t="str">
        <f t="shared" si="4"/>
        <v>rokwzgl=6 i lp=130</v>
      </c>
      <c r="L22" s="27" t="str">
        <f t="shared" si="4"/>
        <v>rokwzgl=7 i lp=130</v>
      </c>
      <c r="M22" s="27" t="str">
        <f t="shared" si="4"/>
        <v>rokwzgl=8 i lp=130</v>
      </c>
      <c r="N22" s="27" t="str">
        <f t="shared" si="5"/>
        <v>rokwzgl=9 i lp=130</v>
      </c>
      <c r="O22" s="27" t="str">
        <f t="shared" si="5"/>
        <v>rokwzgl=10 i lp=130</v>
      </c>
      <c r="P22" s="27" t="str">
        <f t="shared" si="5"/>
        <v>rokwzgl=11 i lp=130</v>
      </c>
      <c r="Q22" s="27" t="str">
        <f t="shared" si="5"/>
        <v>rokwzgl=12 i lp=130</v>
      </c>
      <c r="R22" s="27" t="str">
        <f t="shared" si="5"/>
        <v>rokwzgl=13 i lp=130</v>
      </c>
      <c r="S22" s="27" t="str">
        <f t="shared" si="5"/>
        <v>rokwzgl=14 i lp=130</v>
      </c>
      <c r="T22" s="27" t="str">
        <f t="shared" si="5"/>
        <v>rokwzgl=15 i lp=130</v>
      </c>
      <c r="U22" s="27" t="str">
        <f t="shared" si="5"/>
        <v>rokwzgl=16 i lp=130</v>
      </c>
      <c r="V22" s="27" t="str">
        <f t="shared" si="5"/>
        <v>rokwzgl=17 i lp=130</v>
      </c>
      <c r="W22" s="27" t="str">
        <f t="shared" si="5"/>
        <v>rokwzgl=18 i lp=130</v>
      </c>
      <c r="X22" s="27" t="str">
        <f t="shared" si="6"/>
        <v>rokwzgl=19 i lp=130</v>
      </c>
      <c r="Y22" s="27" t="str">
        <f t="shared" si="6"/>
        <v>rokwzgl=20 i lp=130</v>
      </c>
      <c r="Z22" s="27" t="str">
        <f t="shared" si="6"/>
        <v>rokwzgl=21 i lp=130</v>
      </c>
      <c r="AA22" s="27" t="str">
        <f t="shared" si="6"/>
        <v>rokwzgl=22 i lp=130</v>
      </c>
      <c r="AB22" s="27" t="str">
        <f t="shared" si="6"/>
        <v>rokwzgl=23 i lp=130</v>
      </c>
      <c r="AC22" s="27" t="str">
        <f t="shared" si="6"/>
        <v>rokwzgl=24 i lp=130</v>
      </c>
      <c r="AD22" s="27" t="str">
        <f t="shared" si="6"/>
        <v>rokwzgl=25 i lp=130</v>
      </c>
      <c r="AE22" s="27" t="str">
        <f t="shared" si="6"/>
        <v>rokwzgl=26 i lp=130</v>
      </c>
      <c r="AF22" s="27" t="str">
        <f t="shared" si="6"/>
        <v>rokwzgl=27 i lp=130</v>
      </c>
      <c r="AG22" s="27" t="str">
        <f t="shared" si="6"/>
        <v>rokwzgl=28 i lp=130</v>
      </c>
      <c r="AH22" s="27" t="str">
        <f t="shared" si="6"/>
        <v>rokwzgl=29 i lp=130</v>
      </c>
    </row>
    <row r="23" spans="1:34">
      <c r="A23" s="26">
        <v>140</v>
      </c>
      <c r="B23" s="26" t="s">
        <v>59</v>
      </c>
      <c r="C23" s="27" t="s">
        <v>60</v>
      </c>
      <c r="D23" s="27" t="str">
        <f t="shared" si="4"/>
        <v>rokwzgl=0 i lp=140</v>
      </c>
      <c r="E23" s="27" t="str">
        <f t="shared" si="4"/>
        <v>rokwzgl=0 i lp=140</v>
      </c>
      <c r="F23" s="27" t="str">
        <f t="shared" si="4"/>
        <v>rokwzgl=1 i lp=140</v>
      </c>
      <c r="G23" s="27" t="str">
        <f t="shared" si="4"/>
        <v>rokwzgl=2 i lp=140</v>
      </c>
      <c r="H23" s="27" t="str">
        <f t="shared" si="4"/>
        <v>rokwzgl=3 i lp=140</v>
      </c>
      <c r="I23" s="27" t="str">
        <f t="shared" si="4"/>
        <v>rokwzgl=4 i lp=140</v>
      </c>
      <c r="J23" s="27" t="str">
        <f t="shared" si="4"/>
        <v>rokwzgl=5 i lp=140</v>
      </c>
      <c r="K23" s="27" t="str">
        <f t="shared" si="4"/>
        <v>rokwzgl=6 i lp=140</v>
      </c>
      <c r="L23" s="27" t="str">
        <f t="shared" si="4"/>
        <v>rokwzgl=7 i lp=140</v>
      </c>
      <c r="M23" s="27" t="str">
        <f t="shared" si="4"/>
        <v>rokwzgl=8 i lp=140</v>
      </c>
      <c r="N23" s="27" t="str">
        <f t="shared" si="5"/>
        <v>rokwzgl=9 i lp=140</v>
      </c>
      <c r="O23" s="27" t="str">
        <f t="shared" si="5"/>
        <v>rokwzgl=10 i lp=140</v>
      </c>
      <c r="P23" s="27" t="str">
        <f t="shared" si="5"/>
        <v>rokwzgl=11 i lp=140</v>
      </c>
      <c r="Q23" s="27" t="str">
        <f t="shared" si="5"/>
        <v>rokwzgl=12 i lp=140</v>
      </c>
      <c r="R23" s="27" t="str">
        <f t="shared" si="5"/>
        <v>rokwzgl=13 i lp=140</v>
      </c>
      <c r="S23" s="27" t="str">
        <f t="shared" si="5"/>
        <v>rokwzgl=14 i lp=140</v>
      </c>
      <c r="T23" s="27" t="str">
        <f t="shared" si="5"/>
        <v>rokwzgl=15 i lp=140</v>
      </c>
      <c r="U23" s="27" t="str">
        <f t="shared" si="5"/>
        <v>rokwzgl=16 i lp=140</v>
      </c>
      <c r="V23" s="27" t="str">
        <f t="shared" si="5"/>
        <v>rokwzgl=17 i lp=140</v>
      </c>
      <c r="W23" s="27" t="str">
        <f t="shared" si="5"/>
        <v>rokwzgl=18 i lp=140</v>
      </c>
      <c r="X23" s="27" t="str">
        <f t="shared" si="6"/>
        <v>rokwzgl=19 i lp=140</v>
      </c>
      <c r="Y23" s="27" t="str">
        <f t="shared" si="6"/>
        <v>rokwzgl=20 i lp=140</v>
      </c>
      <c r="Z23" s="27" t="str">
        <f t="shared" si="6"/>
        <v>rokwzgl=21 i lp=140</v>
      </c>
      <c r="AA23" s="27" t="str">
        <f t="shared" si="6"/>
        <v>rokwzgl=22 i lp=140</v>
      </c>
      <c r="AB23" s="27" t="str">
        <f t="shared" si="6"/>
        <v>rokwzgl=23 i lp=140</v>
      </c>
      <c r="AC23" s="27" t="str">
        <f t="shared" si="6"/>
        <v>rokwzgl=24 i lp=140</v>
      </c>
      <c r="AD23" s="27" t="str">
        <f t="shared" si="6"/>
        <v>rokwzgl=25 i lp=140</v>
      </c>
      <c r="AE23" s="27" t="str">
        <f t="shared" si="6"/>
        <v>rokwzgl=26 i lp=140</v>
      </c>
      <c r="AF23" s="27" t="str">
        <f t="shared" si="6"/>
        <v>rokwzgl=27 i lp=140</v>
      </c>
      <c r="AG23" s="27" t="str">
        <f t="shared" si="6"/>
        <v>rokwzgl=28 i lp=140</v>
      </c>
      <c r="AH23" s="27" t="str">
        <f t="shared" si="6"/>
        <v>rokwzgl=29 i lp=140</v>
      </c>
    </row>
    <row r="24" spans="1:34">
      <c r="A24" s="26">
        <v>150</v>
      </c>
      <c r="B24" s="26" t="s">
        <v>61</v>
      </c>
      <c r="C24" s="27" t="s">
        <v>364</v>
      </c>
      <c r="D24" s="27" t="str">
        <f t="shared" si="4"/>
        <v>rokwzgl=0 i lp=150</v>
      </c>
      <c r="E24" s="27" t="str">
        <f t="shared" si="4"/>
        <v>rokwzgl=0 i lp=150</v>
      </c>
      <c r="F24" s="27" t="str">
        <f t="shared" si="4"/>
        <v>rokwzgl=1 i lp=150</v>
      </c>
      <c r="G24" s="27" t="str">
        <f t="shared" si="4"/>
        <v>rokwzgl=2 i lp=150</v>
      </c>
      <c r="H24" s="27" t="str">
        <f t="shared" si="4"/>
        <v>rokwzgl=3 i lp=150</v>
      </c>
      <c r="I24" s="27" t="str">
        <f t="shared" si="4"/>
        <v>rokwzgl=4 i lp=150</v>
      </c>
      <c r="J24" s="27" t="str">
        <f t="shared" si="4"/>
        <v>rokwzgl=5 i lp=150</v>
      </c>
      <c r="K24" s="27" t="str">
        <f t="shared" si="4"/>
        <v>rokwzgl=6 i lp=150</v>
      </c>
      <c r="L24" s="27" t="str">
        <f t="shared" si="4"/>
        <v>rokwzgl=7 i lp=150</v>
      </c>
      <c r="M24" s="27" t="str">
        <f t="shared" si="4"/>
        <v>rokwzgl=8 i lp=150</v>
      </c>
      <c r="N24" s="27" t="str">
        <f t="shared" si="5"/>
        <v>rokwzgl=9 i lp=150</v>
      </c>
      <c r="O24" s="27" t="str">
        <f t="shared" si="5"/>
        <v>rokwzgl=10 i lp=150</v>
      </c>
      <c r="P24" s="27" t="str">
        <f t="shared" si="5"/>
        <v>rokwzgl=11 i lp=150</v>
      </c>
      <c r="Q24" s="27" t="str">
        <f t="shared" si="5"/>
        <v>rokwzgl=12 i lp=150</v>
      </c>
      <c r="R24" s="27" t="str">
        <f t="shared" si="5"/>
        <v>rokwzgl=13 i lp=150</v>
      </c>
      <c r="S24" s="27" t="str">
        <f t="shared" si="5"/>
        <v>rokwzgl=14 i lp=150</v>
      </c>
      <c r="T24" s="27" t="str">
        <f t="shared" si="5"/>
        <v>rokwzgl=15 i lp=150</v>
      </c>
      <c r="U24" s="27" t="str">
        <f t="shared" si="5"/>
        <v>rokwzgl=16 i lp=150</v>
      </c>
      <c r="V24" s="27" t="str">
        <f t="shared" si="5"/>
        <v>rokwzgl=17 i lp=150</v>
      </c>
      <c r="W24" s="27" t="str">
        <f t="shared" si="5"/>
        <v>rokwzgl=18 i lp=150</v>
      </c>
      <c r="X24" s="27" t="str">
        <f t="shared" si="6"/>
        <v>rokwzgl=19 i lp=150</v>
      </c>
      <c r="Y24" s="27" t="str">
        <f t="shared" si="6"/>
        <v>rokwzgl=20 i lp=150</v>
      </c>
      <c r="Z24" s="27" t="str">
        <f t="shared" si="6"/>
        <v>rokwzgl=21 i lp=150</v>
      </c>
      <c r="AA24" s="27" t="str">
        <f t="shared" si="6"/>
        <v>rokwzgl=22 i lp=150</v>
      </c>
      <c r="AB24" s="27" t="str">
        <f t="shared" si="6"/>
        <v>rokwzgl=23 i lp=150</v>
      </c>
      <c r="AC24" s="27" t="str">
        <f t="shared" si="6"/>
        <v>rokwzgl=24 i lp=150</v>
      </c>
      <c r="AD24" s="27" t="str">
        <f t="shared" si="6"/>
        <v>rokwzgl=25 i lp=150</v>
      </c>
      <c r="AE24" s="27" t="str">
        <f t="shared" si="6"/>
        <v>rokwzgl=26 i lp=150</v>
      </c>
      <c r="AF24" s="27" t="str">
        <f t="shared" si="6"/>
        <v>rokwzgl=27 i lp=150</v>
      </c>
      <c r="AG24" s="27" t="str">
        <f t="shared" si="6"/>
        <v>rokwzgl=28 i lp=150</v>
      </c>
      <c r="AH24" s="27" t="str">
        <f t="shared" si="6"/>
        <v>rokwzgl=29 i lp=150</v>
      </c>
    </row>
    <row r="25" spans="1:34">
      <c r="A25" s="26">
        <v>160</v>
      </c>
      <c r="B25" s="26" t="s">
        <v>62</v>
      </c>
      <c r="C25" s="27" t="s">
        <v>365</v>
      </c>
      <c r="D25" s="27" t="str">
        <f t="shared" si="4"/>
        <v>rokwzgl=0 i lp=160</v>
      </c>
      <c r="E25" s="27" t="str">
        <f t="shared" si="4"/>
        <v>rokwzgl=0 i lp=160</v>
      </c>
      <c r="F25" s="27" t="str">
        <f t="shared" si="4"/>
        <v>rokwzgl=1 i lp=160</v>
      </c>
      <c r="G25" s="27" t="str">
        <f t="shared" si="4"/>
        <v>rokwzgl=2 i lp=160</v>
      </c>
      <c r="H25" s="27" t="str">
        <f t="shared" si="4"/>
        <v>rokwzgl=3 i lp=160</v>
      </c>
      <c r="I25" s="27" t="str">
        <f t="shared" si="4"/>
        <v>rokwzgl=4 i lp=160</v>
      </c>
      <c r="J25" s="27" t="str">
        <f t="shared" si="4"/>
        <v>rokwzgl=5 i lp=160</v>
      </c>
      <c r="K25" s="27" t="str">
        <f t="shared" si="4"/>
        <v>rokwzgl=6 i lp=160</v>
      </c>
      <c r="L25" s="27" t="str">
        <f t="shared" si="4"/>
        <v>rokwzgl=7 i lp=160</v>
      </c>
      <c r="M25" s="27" t="str">
        <f t="shared" si="4"/>
        <v>rokwzgl=8 i lp=160</v>
      </c>
      <c r="N25" s="27" t="str">
        <f t="shared" si="5"/>
        <v>rokwzgl=9 i lp=160</v>
      </c>
      <c r="O25" s="27" t="str">
        <f t="shared" si="5"/>
        <v>rokwzgl=10 i lp=160</v>
      </c>
      <c r="P25" s="27" t="str">
        <f t="shared" si="5"/>
        <v>rokwzgl=11 i lp=160</v>
      </c>
      <c r="Q25" s="27" t="str">
        <f t="shared" si="5"/>
        <v>rokwzgl=12 i lp=160</v>
      </c>
      <c r="R25" s="27" t="str">
        <f t="shared" si="5"/>
        <v>rokwzgl=13 i lp=160</v>
      </c>
      <c r="S25" s="27" t="str">
        <f t="shared" si="5"/>
        <v>rokwzgl=14 i lp=160</v>
      </c>
      <c r="T25" s="27" t="str">
        <f t="shared" si="5"/>
        <v>rokwzgl=15 i lp=160</v>
      </c>
      <c r="U25" s="27" t="str">
        <f t="shared" si="5"/>
        <v>rokwzgl=16 i lp=160</v>
      </c>
      <c r="V25" s="27" t="str">
        <f t="shared" si="5"/>
        <v>rokwzgl=17 i lp=160</v>
      </c>
      <c r="W25" s="27" t="str">
        <f t="shared" si="5"/>
        <v>rokwzgl=18 i lp=160</v>
      </c>
      <c r="X25" s="27" t="str">
        <f t="shared" si="6"/>
        <v>rokwzgl=19 i lp=160</v>
      </c>
      <c r="Y25" s="27" t="str">
        <f t="shared" si="6"/>
        <v>rokwzgl=20 i lp=160</v>
      </c>
      <c r="Z25" s="27" t="str">
        <f t="shared" si="6"/>
        <v>rokwzgl=21 i lp=160</v>
      </c>
      <c r="AA25" s="27" t="str">
        <f t="shared" si="6"/>
        <v>rokwzgl=22 i lp=160</v>
      </c>
      <c r="AB25" s="27" t="str">
        <f t="shared" si="6"/>
        <v>rokwzgl=23 i lp=160</v>
      </c>
      <c r="AC25" s="27" t="str">
        <f t="shared" si="6"/>
        <v>rokwzgl=24 i lp=160</v>
      </c>
      <c r="AD25" s="27" t="str">
        <f t="shared" si="6"/>
        <v>rokwzgl=25 i lp=160</v>
      </c>
      <c r="AE25" s="27" t="str">
        <f t="shared" si="6"/>
        <v>rokwzgl=26 i lp=160</v>
      </c>
      <c r="AF25" s="27" t="str">
        <f t="shared" si="6"/>
        <v>rokwzgl=27 i lp=160</v>
      </c>
      <c r="AG25" s="27" t="str">
        <f t="shared" si="6"/>
        <v>rokwzgl=28 i lp=160</v>
      </c>
      <c r="AH25" s="27" t="str">
        <f t="shared" si="6"/>
        <v>rokwzgl=29 i lp=160</v>
      </c>
    </row>
    <row r="26" spans="1:34">
      <c r="A26" s="26">
        <v>170</v>
      </c>
      <c r="B26" s="26" t="s">
        <v>63</v>
      </c>
      <c r="C26" s="27" t="s">
        <v>366</v>
      </c>
      <c r="D26" s="27" t="str">
        <f t="shared" si="4"/>
        <v>rokwzgl=0 i lp=170</v>
      </c>
      <c r="E26" s="27" t="str">
        <f t="shared" si="4"/>
        <v>rokwzgl=0 i lp=170</v>
      </c>
      <c r="F26" s="27" t="str">
        <f t="shared" si="4"/>
        <v>rokwzgl=1 i lp=170</v>
      </c>
      <c r="G26" s="27" t="str">
        <f t="shared" si="4"/>
        <v>rokwzgl=2 i lp=170</v>
      </c>
      <c r="H26" s="27" t="str">
        <f t="shared" si="4"/>
        <v>rokwzgl=3 i lp=170</v>
      </c>
      <c r="I26" s="27" t="str">
        <f t="shared" si="4"/>
        <v>rokwzgl=4 i lp=170</v>
      </c>
      <c r="J26" s="27" t="str">
        <f t="shared" si="4"/>
        <v>rokwzgl=5 i lp=170</v>
      </c>
      <c r="K26" s="27" t="str">
        <f t="shared" si="4"/>
        <v>rokwzgl=6 i lp=170</v>
      </c>
      <c r="L26" s="27" t="str">
        <f t="shared" si="4"/>
        <v>rokwzgl=7 i lp=170</v>
      </c>
      <c r="M26" s="27" t="str">
        <f t="shared" si="4"/>
        <v>rokwzgl=8 i lp=170</v>
      </c>
      <c r="N26" s="27" t="str">
        <f t="shared" si="5"/>
        <v>rokwzgl=9 i lp=170</v>
      </c>
      <c r="O26" s="27" t="str">
        <f t="shared" si="5"/>
        <v>rokwzgl=10 i lp=170</v>
      </c>
      <c r="P26" s="27" t="str">
        <f t="shared" si="5"/>
        <v>rokwzgl=11 i lp=170</v>
      </c>
      <c r="Q26" s="27" t="str">
        <f t="shared" si="5"/>
        <v>rokwzgl=12 i lp=170</v>
      </c>
      <c r="R26" s="27" t="str">
        <f t="shared" si="5"/>
        <v>rokwzgl=13 i lp=170</v>
      </c>
      <c r="S26" s="27" t="str">
        <f t="shared" si="5"/>
        <v>rokwzgl=14 i lp=170</v>
      </c>
      <c r="T26" s="27" t="str">
        <f t="shared" si="5"/>
        <v>rokwzgl=15 i lp=170</v>
      </c>
      <c r="U26" s="27" t="str">
        <f t="shared" si="5"/>
        <v>rokwzgl=16 i lp=170</v>
      </c>
      <c r="V26" s="27" t="str">
        <f t="shared" si="5"/>
        <v>rokwzgl=17 i lp=170</v>
      </c>
      <c r="W26" s="27" t="str">
        <f t="shared" si="5"/>
        <v>rokwzgl=18 i lp=170</v>
      </c>
      <c r="X26" s="27" t="str">
        <f t="shared" si="6"/>
        <v>rokwzgl=19 i lp=170</v>
      </c>
      <c r="Y26" s="27" t="str">
        <f t="shared" si="6"/>
        <v>rokwzgl=20 i lp=170</v>
      </c>
      <c r="Z26" s="27" t="str">
        <f t="shared" si="6"/>
        <v>rokwzgl=21 i lp=170</v>
      </c>
      <c r="AA26" s="27" t="str">
        <f t="shared" si="6"/>
        <v>rokwzgl=22 i lp=170</v>
      </c>
      <c r="AB26" s="27" t="str">
        <f t="shared" si="6"/>
        <v>rokwzgl=23 i lp=170</v>
      </c>
      <c r="AC26" s="27" t="str">
        <f t="shared" si="6"/>
        <v>rokwzgl=24 i lp=170</v>
      </c>
      <c r="AD26" s="27" t="str">
        <f t="shared" si="6"/>
        <v>rokwzgl=25 i lp=170</v>
      </c>
      <c r="AE26" s="27" t="str">
        <f t="shared" si="6"/>
        <v>rokwzgl=26 i lp=170</v>
      </c>
      <c r="AF26" s="27" t="str">
        <f t="shared" si="6"/>
        <v>rokwzgl=27 i lp=170</v>
      </c>
      <c r="AG26" s="27" t="str">
        <f t="shared" si="6"/>
        <v>rokwzgl=28 i lp=170</v>
      </c>
      <c r="AH26" s="27" t="str">
        <f t="shared" si="6"/>
        <v>rokwzgl=29 i lp=170</v>
      </c>
    </row>
    <row r="27" spans="1:34">
      <c r="A27" s="26">
        <v>180</v>
      </c>
      <c r="B27" s="26" t="s">
        <v>64</v>
      </c>
      <c r="C27" s="27" t="s">
        <v>367</v>
      </c>
      <c r="D27" s="27" t="str">
        <f t="shared" si="4"/>
        <v>rokwzgl=0 i lp=180</v>
      </c>
      <c r="E27" s="27" t="str">
        <f t="shared" si="4"/>
        <v>rokwzgl=0 i lp=180</v>
      </c>
      <c r="F27" s="27" t="str">
        <f t="shared" si="4"/>
        <v>rokwzgl=1 i lp=180</v>
      </c>
      <c r="G27" s="27" t="str">
        <f t="shared" si="4"/>
        <v>rokwzgl=2 i lp=180</v>
      </c>
      <c r="H27" s="27" t="str">
        <f t="shared" si="4"/>
        <v>rokwzgl=3 i lp=180</v>
      </c>
      <c r="I27" s="27" t="str">
        <f t="shared" si="4"/>
        <v>rokwzgl=4 i lp=180</v>
      </c>
      <c r="J27" s="27" t="str">
        <f t="shared" si="4"/>
        <v>rokwzgl=5 i lp=180</v>
      </c>
      <c r="K27" s="27" t="str">
        <f t="shared" si="4"/>
        <v>rokwzgl=6 i lp=180</v>
      </c>
      <c r="L27" s="27" t="str">
        <f t="shared" si="4"/>
        <v>rokwzgl=7 i lp=180</v>
      </c>
      <c r="M27" s="27" t="str">
        <f t="shared" si="4"/>
        <v>rokwzgl=8 i lp=180</v>
      </c>
      <c r="N27" s="27" t="str">
        <f t="shared" si="5"/>
        <v>rokwzgl=9 i lp=180</v>
      </c>
      <c r="O27" s="27" t="str">
        <f t="shared" si="5"/>
        <v>rokwzgl=10 i lp=180</v>
      </c>
      <c r="P27" s="27" t="str">
        <f t="shared" si="5"/>
        <v>rokwzgl=11 i lp=180</v>
      </c>
      <c r="Q27" s="27" t="str">
        <f t="shared" si="5"/>
        <v>rokwzgl=12 i lp=180</v>
      </c>
      <c r="R27" s="27" t="str">
        <f t="shared" si="5"/>
        <v>rokwzgl=13 i lp=180</v>
      </c>
      <c r="S27" s="27" t="str">
        <f t="shared" si="5"/>
        <v>rokwzgl=14 i lp=180</v>
      </c>
      <c r="T27" s="27" t="str">
        <f t="shared" si="5"/>
        <v>rokwzgl=15 i lp=180</v>
      </c>
      <c r="U27" s="27" t="str">
        <f t="shared" si="5"/>
        <v>rokwzgl=16 i lp=180</v>
      </c>
      <c r="V27" s="27" t="str">
        <f t="shared" si="5"/>
        <v>rokwzgl=17 i lp=180</v>
      </c>
      <c r="W27" s="27" t="str">
        <f t="shared" si="5"/>
        <v>rokwzgl=18 i lp=180</v>
      </c>
      <c r="X27" s="27" t="str">
        <f t="shared" si="6"/>
        <v>rokwzgl=19 i lp=180</v>
      </c>
      <c r="Y27" s="27" t="str">
        <f t="shared" si="6"/>
        <v>rokwzgl=20 i lp=180</v>
      </c>
      <c r="Z27" s="27" t="str">
        <f t="shared" si="6"/>
        <v>rokwzgl=21 i lp=180</v>
      </c>
      <c r="AA27" s="27" t="str">
        <f t="shared" si="6"/>
        <v>rokwzgl=22 i lp=180</v>
      </c>
      <c r="AB27" s="27" t="str">
        <f t="shared" si="6"/>
        <v>rokwzgl=23 i lp=180</v>
      </c>
      <c r="AC27" s="27" t="str">
        <f t="shared" si="6"/>
        <v>rokwzgl=24 i lp=180</v>
      </c>
      <c r="AD27" s="27" t="str">
        <f t="shared" si="6"/>
        <v>rokwzgl=25 i lp=180</v>
      </c>
      <c r="AE27" s="27" t="str">
        <f t="shared" si="6"/>
        <v>rokwzgl=26 i lp=180</v>
      </c>
      <c r="AF27" s="27" t="str">
        <f t="shared" si="6"/>
        <v>rokwzgl=27 i lp=180</v>
      </c>
      <c r="AG27" s="27" t="str">
        <f t="shared" si="6"/>
        <v>rokwzgl=28 i lp=180</v>
      </c>
      <c r="AH27" s="27" t="str">
        <f t="shared" si="6"/>
        <v>rokwzgl=29 i lp=180</v>
      </c>
    </row>
    <row r="28" spans="1:34">
      <c r="A28" s="26">
        <v>182</v>
      </c>
      <c r="B28" s="26" t="s">
        <v>368</v>
      </c>
      <c r="C28" s="27" t="s">
        <v>369</v>
      </c>
      <c r="D28" s="27" t="str">
        <f t="shared" si="4"/>
        <v>rokwzgl=0 i lp=182</v>
      </c>
      <c r="E28" s="27" t="str">
        <f t="shared" si="4"/>
        <v>rokwzgl=0 i lp=182</v>
      </c>
      <c r="F28" s="27" t="str">
        <f t="shared" si="4"/>
        <v>rokwzgl=1 i lp=182</v>
      </c>
      <c r="G28" s="27" t="str">
        <f t="shared" si="4"/>
        <v>rokwzgl=2 i lp=182</v>
      </c>
      <c r="H28" s="27" t="str">
        <f t="shared" si="4"/>
        <v>rokwzgl=3 i lp=182</v>
      </c>
      <c r="I28" s="27" t="str">
        <f t="shared" si="4"/>
        <v>rokwzgl=4 i lp=182</v>
      </c>
      <c r="J28" s="27" t="str">
        <f t="shared" si="4"/>
        <v>rokwzgl=5 i lp=182</v>
      </c>
      <c r="K28" s="27" t="str">
        <f t="shared" si="4"/>
        <v>rokwzgl=6 i lp=182</v>
      </c>
      <c r="L28" s="27" t="str">
        <f t="shared" si="4"/>
        <v>rokwzgl=7 i lp=182</v>
      </c>
      <c r="M28" s="27" t="str">
        <f t="shared" si="4"/>
        <v>rokwzgl=8 i lp=182</v>
      </c>
      <c r="N28" s="27" t="str">
        <f t="shared" si="5"/>
        <v>rokwzgl=9 i lp=182</v>
      </c>
      <c r="O28" s="27" t="str">
        <f t="shared" si="5"/>
        <v>rokwzgl=10 i lp=182</v>
      </c>
      <c r="P28" s="27" t="str">
        <f t="shared" si="5"/>
        <v>rokwzgl=11 i lp=182</v>
      </c>
      <c r="Q28" s="27" t="str">
        <f t="shared" si="5"/>
        <v>rokwzgl=12 i lp=182</v>
      </c>
      <c r="R28" s="27" t="str">
        <f t="shared" si="5"/>
        <v>rokwzgl=13 i lp=182</v>
      </c>
      <c r="S28" s="27" t="str">
        <f t="shared" si="5"/>
        <v>rokwzgl=14 i lp=182</v>
      </c>
      <c r="T28" s="27" t="str">
        <f t="shared" si="5"/>
        <v>rokwzgl=15 i lp=182</v>
      </c>
      <c r="U28" s="27" t="str">
        <f t="shared" si="5"/>
        <v>rokwzgl=16 i lp=182</v>
      </c>
      <c r="V28" s="27" t="str">
        <f t="shared" si="5"/>
        <v>rokwzgl=17 i lp=182</v>
      </c>
      <c r="W28" s="27" t="str">
        <f t="shared" si="5"/>
        <v>rokwzgl=18 i lp=182</v>
      </c>
      <c r="X28" s="27" t="str">
        <f t="shared" si="6"/>
        <v>rokwzgl=19 i lp=182</v>
      </c>
      <c r="Y28" s="27" t="str">
        <f t="shared" si="6"/>
        <v>rokwzgl=20 i lp=182</v>
      </c>
      <c r="Z28" s="27" t="str">
        <f t="shared" si="6"/>
        <v>rokwzgl=21 i lp=182</v>
      </c>
      <c r="AA28" s="27" t="str">
        <f t="shared" si="6"/>
        <v>rokwzgl=22 i lp=182</v>
      </c>
      <c r="AB28" s="27" t="str">
        <f t="shared" si="6"/>
        <v>rokwzgl=23 i lp=182</v>
      </c>
      <c r="AC28" s="27" t="str">
        <f t="shared" si="6"/>
        <v>rokwzgl=24 i lp=182</v>
      </c>
      <c r="AD28" s="27" t="str">
        <f t="shared" si="6"/>
        <v>rokwzgl=25 i lp=182</v>
      </c>
      <c r="AE28" s="27" t="str">
        <f t="shared" si="6"/>
        <v>rokwzgl=26 i lp=182</v>
      </c>
      <c r="AF28" s="27" t="str">
        <f t="shared" si="6"/>
        <v>rokwzgl=27 i lp=182</v>
      </c>
      <c r="AG28" s="27" t="str">
        <f t="shared" si="6"/>
        <v>rokwzgl=28 i lp=182</v>
      </c>
      <c r="AH28" s="27" t="str">
        <f t="shared" si="6"/>
        <v>rokwzgl=29 i lp=182</v>
      </c>
    </row>
    <row r="29" spans="1:34">
      <c r="A29" s="26">
        <v>184</v>
      </c>
      <c r="B29" s="26" t="s">
        <v>370</v>
      </c>
      <c r="C29" s="27" t="s">
        <v>371</v>
      </c>
      <c r="D29" s="27" t="str">
        <f t="shared" si="4"/>
        <v>rokwzgl=0 i lp=184</v>
      </c>
      <c r="E29" s="27" t="str">
        <f t="shared" si="4"/>
        <v>rokwzgl=0 i lp=184</v>
      </c>
      <c r="F29" s="27" t="str">
        <f t="shared" si="4"/>
        <v>rokwzgl=1 i lp=184</v>
      </c>
      <c r="G29" s="27" t="str">
        <f t="shared" si="4"/>
        <v>rokwzgl=2 i lp=184</v>
      </c>
      <c r="H29" s="27" t="str">
        <f t="shared" si="4"/>
        <v>rokwzgl=3 i lp=184</v>
      </c>
      <c r="I29" s="27" t="str">
        <f t="shared" si="4"/>
        <v>rokwzgl=4 i lp=184</v>
      </c>
      <c r="J29" s="27" t="str">
        <f t="shared" si="4"/>
        <v>rokwzgl=5 i lp=184</v>
      </c>
      <c r="K29" s="27" t="str">
        <f t="shared" si="4"/>
        <v>rokwzgl=6 i lp=184</v>
      </c>
      <c r="L29" s="27" t="str">
        <f t="shared" si="4"/>
        <v>rokwzgl=7 i lp=184</v>
      </c>
      <c r="M29" s="27" t="str">
        <f t="shared" si="4"/>
        <v>rokwzgl=8 i lp=184</v>
      </c>
      <c r="N29" s="27" t="str">
        <f t="shared" si="5"/>
        <v>rokwzgl=9 i lp=184</v>
      </c>
      <c r="O29" s="27" t="str">
        <f t="shared" si="5"/>
        <v>rokwzgl=10 i lp=184</v>
      </c>
      <c r="P29" s="27" t="str">
        <f t="shared" si="5"/>
        <v>rokwzgl=11 i lp=184</v>
      </c>
      <c r="Q29" s="27" t="str">
        <f t="shared" si="5"/>
        <v>rokwzgl=12 i lp=184</v>
      </c>
      <c r="R29" s="27" t="str">
        <f t="shared" si="5"/>
        <v>rokwzgl=13 i lp=184</v>
      </c>
      <c r="S29" s="27" t="str">
        <f t="shared" si="5"/>
        <v>rokwzgl=14 i lp=184</v>
      </c>
      <c r="T29" s="27" t="str">
        <f t="shared" si="5"/>
        <v>rokwzgl=15 i lp=184</v>
      </c>
      <c r="U29" s="27" t="str">
        <f t="shared" si="5"/>
        <v>rokwzgl=16 i lp=184</v>
      </c>
      <c r="V29" s="27" t="str">
        <f t="shared" si="5"/>
        <v>rokwzgl=17 i lp=184</v>
      </c>
      <c r="W29" s="27" t="str">
        <f t="shared" si="5"/>
        <v>rokwzgl=18 i lp=184</v>
      </c>
      <c r="X29" s="27" t="str">
        <f t="shared" si="6"/>
        <v>rokwzgl=19 i lp=184</v>
      </c>
      <c r="Y29" s="27" t="str">
        <f t="shared" si="6"/>
        <v>rokwzgl=20 i lp=184</v>
      </c>
      <c r="Z29" s="27" t="str">
        <f t="shared" si="6"/>
        <v>rokwzgl=21 i lp=184</v>
      </c>
      <c r="AA29" s="27" t="str">
        <f t="shared" si="6"/>
        <v>rokwzgl=22 i lp=184</v>
      </c>
      <c r="AB29" s="27" t="str">
        <f t="shared" si="6"/>
        <v>rokwzgl=23 i lp=184</v>
      </c>
      <c r="AC29" s="27" t="str">
        <f t="shared" si="6"/>
        <v>rokwzgl=24 i lp=184</v>
      </c>
      <c r="AD29" s="27" t="str">
        <f t="shared" si="6"/>
        <v>rokwzgl=25 i lp=184</v>
      </c>
      <c r="AE29" s="27" t="str">
        <f t="shared" si="6"/>
        <v>rokwzgl=26 i lp=184</v>
      </c>
      <c r="AF29" s="27" t="str">
        <f t="shared" si="6"/>
        <v>rokwzgl=27 i lp=184</v>
      </c>
      <c r="AG29" s="27" t="str">
        <f t="shared" si="6"/>
        <v>rokwzgl=28 i lp=184</v>
      </c>
      <c r="AH29" s="27" t="str">
        <f t="shared" si="6"/>
        <v>rokwzgl=29 i lp=184</v>
      </c>
    </row>
    <row r="30" spans="1:34">
      <c r="A30" s="26">
        <v>190</v>
      </c>
      <c r="B30" s="26" t="s">
        <v>139</v>
      </c>
      <c r="C30" s="27" t="s">
        <v>65</v>
      </c>
      <c r="D30" s="27" t="str">
        <f t="shared" si="4"/>
        <v>rokwzgl=0 i lp=190</v>
      </c>
      <c r="E30" s="27" t="str">
        <f t="shared" si="4"/>
        <v>rokwzgl=0 i lp=190</v>
      </c>
      <c r="F30" s="27" t="str">
        <f t="shared" si="4"/>
        <v>rokwzgl=1 i lp=190</v>
      </c>
      <c r="G30" s="27" t="str">
        <f t="shared" si="4"/>
        <v>rokwzgl=2 i lp=190</v>
      </c>
      <c r="H30" s="27" t="str">
        <f t="shared" si="4"/>
        <v>rokwzgl=3 i lp=190</v>
      </c>
      <c r="I30" s="27" t="str">
        <f t="shared" si="4"/>
        <v>rokwzgl=4 i lp=190</v>
      </c>
      <c r="J30" s="27" t="str">
        <f t="shared" si="4"/>
        <v>rokwzgl=5 i lp=190</v>
      </c>
      <c r="K30" s="27" t="str">
        <f t="shared" si="4"/>
        <v>rokwzgl=6 i lp=190</v>
      </c>
      <c r="L30" s="27" t="str">
        <f t="shared" si="4"/>
        <v>rokwzgl=7 i lp=190</v>
      </c>
      <c r="M30" s="27" t="str">
        <f t="shared" si="4"/>
        <v>rokwzgl=8 i lp=190</v>
      </c>
      <c r="N30" s="27" t="str">
        <f t="shared" si="5"/>
        <v>rokwzgl=9 i lp=190</v>
      </c>
      <c r="O30" s="27" t="str">
        <f t="shared" si="5"/>
        <v>rokwzgl=10 i lp=190</v>
      </c>
      <c r="P30" s="27" t="str">
        <f t="shared" si="5"/>
        <v>rokwzgl=11 i lp=190</v>
      </c>
      <c r="Q30" s="27" t="str">
        <f t="shared" si="5"/>
        <v>rokwzgl=12 i lp=190</v>
      </c>
      <c r="R30" s="27" t="str">
        <f t="shared" si="5"/>
        <v>rokwzgl=13 i lp=190</v>
      </c>
      <c r="S30" s="27" t="str">
        <f t="shared" si="5"/>
        <v>rokwzgl=14 i lp=190</v>
      </c>
      <c r="T30" s="27" t="str">
        <f t="shared" si="5"/>
        <v>rokwzgl=15 i lp=190</v>
      </c>
      <c r="U30" s="27" t="str">
        <f t="shared" si="5"/>
        <v>rokwzgl=16 i lp=190</v>
      </c>
      <c r="V30" s="27" t="str">
        <f t="shared" si="5"/>
        <v>rokwzgl=17 i lp=190</v>
      </c>
      <c r="W30" s="27" t="str">
        <f t="shared" si="5"/>
        <v>rokwzgl=18 i lp=190</v>
      </c>
      <c r="X30" s="27" t="str">
        <f t="shared" si="6"/>
        <v>rokwzgl=19 i lp=190</v>
      </c>
      <c r="Y30" s="27" t="str">
        <f t="shared" si="6"/>
        <v>rokwzgl=20 i lp=190</v>
      </c>
      <c r="Z30" s="27" t="str">
        <f t="shared" si="6"/>
        <v>rokwzgl=21 i lp=190</v>
      </c>
      <c r="AA30" s="27" t="str">
        <f t="shared" si="6"/>
        <v>rokwzgl=22 i lp=190</v>
      </c>
      <c r="AB30" s="27" t="str">
        <f t="shared" si="6"/>
        <v>rokwzgl=23 i lp=190</v>
      </c>
      <c r="AC30" s="27" t="str">
        <f t="shared" si="6"/>
        <v>rokwzgl=24 i lp=190</v>
      </c>
      <c r="AD30" s="27" t="str">
        <f t="shared" si="6"/>
        <v>rokwzgl=25 i lp=190</v>
      </c>
      <c r="AE30" s="27" t="str">
        <f t="shared" si="6"/>
        <v>rokwzgl=26 i lp=190</v>
      </c>
      <c r="AF30" s="27" t="str">
        <f t="shared" si="6"/>
        <v>rokwzgl=27 i lp=190</v>
      </c>
      <c r="AG30" s="27" t="str">
        <f t="shared" si="6"/>
        <v>rokwzgl=28 i lp=190</v>
      </c>
      <c r="AH30" s="27" t="str">
        <f t="shared" si="6"/>
        <v>rokwzgl=29 i lp=190</v>
      </c>
    </row>
    <row r="31" spans="1:34">
      <c r="A31" s="26">
        <v>200</v>
      </c>
      <c r="B31" s="26">
        <v>3</v>
      </c>
      <c r="C31" s="27" t="s">
        <v>21</v>
      </c>
      <c r="D31" s="27" t="str">
        <f t="shared" si="4"/>
        <v>rokwzgl=0 i lp=200</v>
      </c>
      <c r="E31" s="27" t="str">
        <f t="shared" si="4"/>
        <v>rokwzgl=0 i lp=200</v>
      </c>
      <c r="F31" s="27" t="str">
        <f t="shared" si="4"/>
        <v>rokwzgl=1 i lp=200</v>
      </c>
      <c r="G31" s="27" t="str">
        <f t="shared" si="4"/>
        <v>rokwzgl=2 i lp=200</v>
      </c>
      <c r="H31" s="27" t="str">
        <f t="shared" si="4"/>
        <v>rokwzgl=3 i lp=200</v>
      </c>
      <c r="I31" s="27" t="str">
        <f t="shared" si="4"/>
        <v>rokwzgl=4 i lp=200</v>
      </c>
      <c r="J31" s="27" t="str">
        <f t="shared" si="4"/>
        <v>rokwzgl=5 i lp=200</v>
      </c>
      <c r="K31" s="27" t="str">
        <f t="shared" si="4"/>
        <v>rokwzgl=6 i lp=200</v>
      </c>
      <c r="L31" s="27" t="str">
        <f t="shared" si="4"/>
        <v>rokwzgl=7 i lp=200</v>
      </c>
      <c r="M31" s="27" t="str">
        <f t="shared" si="4"/>
        <v>rokwzgl=8 i lp=200</v>
      </c>
      <c r="N31" s="27" t="str">
        <f t="shared" si="5"/>
        <v>rokwzgl=9 i lp=200</v>
      </c>
      <c r="O31" s="27" t="str">
        <f t="shared" si="5"/>
        <v>rokwzgl=10 i lp=200</v>
      </c>
      <c r="P31" s="27" t="str">
        <f t="shared" si="5"/>
        <v>rokwzgl=11 i lp=200</v>
      </c>
      <c r="Q31" s="27" t="str">
        <f t="shared" si="5"/>
        <v>rokwzgl=12 i lp=200</v>
      </c>
      <c r="R31" s="27" t="str">
        <f t="shared" si="5"/>
        <v>rokwzgl=13 i lp=200</v>
      </c>
      <c r="S31" s="27" t="str">
        <f t="shared" si="5"/>
        <v>rokwzgl=14 i lp=200</v>
      </c>
      <c r="T31" s="27" t="str">
        <f t="shared" si="5"/>
        <v>rokwzgl=15 i lp=200</v>
      </c>
      <c r="U31" s="27" t="str">
        <f t="shared" si="5"/>
        <v>rokwzgl=16 i lp=200</v>
      </c>
      <c r="V31" s="27" t="str">
        <f t="shared" si="5"/>
        <v>rokwzgl=17 i lp=200</v>
      </c>
      <c r="W31" s="27" t="str">
        <f t="shared" si="5"/>
        <v>rokwzgl=18 i lp=200</v>
      </c>
      <c r="X31" s="27" t="str">
        <f t="shared" si="6"/>
        <v>rokwzgl=19 i lp=200</v>
      </c>
      <c r="Y31" s="27" t="str">
        <f t="shared" si="6"/>
        <v>rokwzgl=20 i lp=200</v>
      </c>
      <c r="Z31" s="27" t="str">
        <f t="shared" si="6"/>
        <v>rokwzgl=21 i lp=200</v>
      </c>
      <c r="AA31" s="27" t="str">
        <f t="shared" si="6"/>
        <v>rokwzgl=22 i lp=200</v>
      </c>
      <c r="AB31" s="27" t="str">
        <f t="shared" si="6"/>
        <v>rokwzgl=23 i lp=200</v>
      </c>
      <c r="AC31" s="27" t="str">
        <f t="shared" si="6"/>
        <v>rokwzgl=24 i lp=200</v>
      </c>
      <c r="AD31" s="27" t="str">
        <f t="shared" si="6"/>
        <v>rokwzgl=25 i lp=200</v>
      </c>
      <c r="AE31" s="27" t="str">
        <f t="shared" si="6"/>
        <v>rokwzgl=26 i lp=200</v>
      </c>
      <c r="AF31" s="27" t="str">
        <f t="shared" si="6"/>
        <v>rokwzgl=27 i lp=200</v>
      </c>
      <c r="AG31" s="27" t="str">
        <f t="shared" si="6"/>
        <v>rokwzgl=28 i lp=200</v>
      </c>
      <c r="AH31" s="27" t="str">
        <f t="shared" si="6"/>
        <v>rokwzgl=29 i lp=200</v>
      </c>
    </row>
    <row r="32" spans="1:34">
      <c r="A32" s="26">
        <v>210</v>
      </c>
      <c r="B32" s="26">
        <v>4</v>
      </c>
      <c r="C32" s="27" t="s">
        <v>22</v>
      </c>
      <c r="D32" s="27" t="str">
        <f t="shared" si="4"/>
        <v>rokwzgl=0 i lp=210</v>
      </c>
      <c r="E32" s="27" t="str">
        <f t="shared" si="4"/>
        <v>rokwzgl=0 i lp=210</v>
      </c>
      <c r="F32" s="27" t="str">
        <f t="shared" si="4"/>
        <v>rokwzgl=1 i lp=210</v>
      </c>
      <c r="G32" s="27" t="str">
        <f t="shared" si="4"/>
        <v>rokwzgl=2 i lp=210</v>
      </c>
      <c r="H32" s="27" t="str">
        <f t="shared" si="4"/>
        <v>rokwzgl=3 i lp=210</v>
      </c>
      <c r="I32" s="27" t="str">
        <f t="shared" si="4"/>
        <v>rokwzgl=4 i lp=210</v>
      </c>
      <c r="J32" s="27" t="str">
        <f t="shared" si="4"/>
        <v>rokwzgl=5 i lp=210</v>
      </c>
      <c r="K32" s="27" t="str">
        <f t="shared" si="4"/>
        <v>rokwzgl=6 i lp=210</v>
      </c>
      <c r="L32" s="27" t="str">
        <f t="shared" si="4"/>
        <v>rokwzgl=7 i lp=210</v>
      </c>
      <c r="M32" s="27" t="str">
        <f t="shared" si="4"/>
        <v>rokwzgl=8 i lp=210</v>
      </c>
      <c r="N32" s="27" t="str">
        <f t="shared" si="5"/>
        <v>rokwzgl=9 i lp=210</v>
      </c>
      <c r="O32" s="27" t="str">
        <f t="shared" si="5"/>
        <v>rokwzgl=10 i lp=210</v>
      </c>
      <c r="P32" s="27" t="str">
        <f t="shared" si="5"/>
        <v>rokwzgl=11 i lp=210</v>
      </c>
      <c r="Q32" s="27" t="str">
        <f t="shared" si="5"/>
        <v>rokwzgl=12 i lp=210</v>
      </c>
      <c r="R32" s="27" t="str">
        <f t="shared" si="5"/>
        <v>rokwzgl=13 i lp=210</v>
      </c>
      <c r="S32" s="27" t="str">
        <f t="shared" si="5"/>
        <v>rokwzgl=14 i lp=210</v>
      </c>
      <c r="T32" s="27" t="str">
        <f t="shared" si="5"/>
        <v>rokwzgl=15 i lp=210</v>
      </c>
      <c r="U32" s="27" t="str">
        <f t="shared" si="5"/>
        <v>rokwzgl=16 i lp=210</v>
      </c>
      <c r="V32" s="27" t="str">
        <f t="shared" si="5"/>
        <v>rokwzgl=17 i lp=210</v>
      </c>
      <c r="W32" s="27" t="str">
        <f t="shared" si="5"/>
        <v>rokwzgl=18 i lp=210</v>
      </c>
      <c r="X32" s="27" t="str">
        <f t="shared" si="6"/>
        <v>rokwzgl=19 i lp=210</v>
      </c>
      <c r="Y32" s="27" t="str">
        <f t="shared" si="6"/>
        <v>rokwzgl=20 i lp=210</v>
      </c>
      <c r="Z32" s="27" t="str">
        <f t="shared" si="6"/>
        <v>rokwzgl=21 i lp=210</v>
      </c>
      <c r="AA32" s="27" t="str">
        <f t="shared" si="6"/>
        <v>rokwzgl=22 i lp=210</v>
      </c>
      <c r="AB32" s="27" t="str">
        <f t="shared" si="6"/>
        <v>rokwzgl=23 i lp=210</v>
      </c>
      <c r="AC32" s="27" t="str">
        <f t="shared" si="6"/>
        <v>rokwzgl=24 i lp=210</v>
      </c>
      <c r="AD32" s="27" t="str">
        <f t="shared" si="6"/>
        <v>rokwzgl=25 i lp=210</v>
      </c>
      <c r="AE32" s="27" t="str">
        <f t="shared" si="6"/>
        <v>rokwzgl=26 i lp=210</v>
      </c>
      <c r="AF32" s="27" t="str">
        <f t="shared" si="6"/>
        <v>rokwzgl=27 i lp=210</v>
      </c>
      <c r="AG32" s="27" t="str">
        <f t="shared" si="6"/>
        <v>rokwzgl=28 i lp=210</v>
      </c>
      <c r="AH32" s="27" t="str">
        <f t="shared" si="6"/>
        <v>rokwzgl=29 i lp=210</v>
      </c>
    </row>
    <row r="33" spans="1:34">
      <c r="A33" s="26">
        <v>220</v>
      </c>
      <c r="B33" s="26" t="s">
        <v>140</v>
      </c>
      <c r="C33" s="27" t="s">
        <v>66</v>
      </c>
      <c r="D33" s="27" t="str">
        <f t="shared" si="4"/>
        <v>rokwzgl=0 i lp=220</v>
      </c>
      <c r="E33" s="27" t="str">
        <f t="shared" si="4"/>
        <v>rokwzgl=0 i lp=220</v>
      </c>
      <c r="F33" s="27" t="str">
        <f t="shared" si="4"/>
        <v>rokwzgl=1 i lp=220</v>
      </c>
      <c r="G33" s="27" t="str">
        <f t="shared" si="4"/>
        <v>rokwzgl=2 i lp=220</v>
      </c>
      <c r="H33" s="27" t="str">
        <f t="shared" si="4"/>
        <v>rokwzgl=3 i lp=220</v>
      </c>
      <c r="I33" s="27" t="str">
        <f t="shared" si="4"/>
        <v>rokwzgl=4 i lp=220</v>
      </c>
      <c r="J33" s="27" t="str">
        <f t="shared" si="4"/>
        <v>rokwzgl=5 i lp=220</v>
      </c>
      <c r="K33" s="27" t="str">
        <f t="shared" si="4"/>
        <v>rokwzgl=6 i lp=220</v>
      </c>
      <c r="L33" s="27" t="str">
        <f t="shared" si="4"/>
        <v>rokwzgl=7 i lp=220</v>
      </c>
      <c r="M33" s="27" t="str">
        <f t="shared" si="4"/>
        <v>rokwzgl=8 i lp=220</v>
      </c>
      <c r="N33" s="27" t="str">
        <f t="shared" si="5"/>
        <v>rokwzgl=9 i lp=220</v>
      </c>
      <c r="O33" s="27" t="str">
        <f t="shared" si="5"/>
        <v>rokwzgl=10 i lp=220</v>
      </c>
      <c r="P33" s="27" t="str">
        <f t="shared" si="5"/>
        <v>rokwzgl=11 i lp=220</v>
      </c>
      <c r="Q33" s="27" t="str">
        <f t="shared" si="5"/>
        <v>rokwzgl=12 i lp=220</v>
      </c>
      <c r="R33" s="27" t="str">
        <f t="shared" si="5"/>
        <v>rokwzgl=13 i lp=220</v>
      </c>
      <c r="S33" s="27" t="str">
        <f t="shared" si="5"/>
        <v>rokwzgl=14 i lp=220</v>
      </c>
      <c r="T33" s="27" t="str">
        <f t="shared" si="5"/>
        <v>rokwzgl=15 i lp=220</v>
      </c>
      <c r="U33" s="27" t="str">
        <f t="shared" si="5"/>
        <v>rokwzgl=16 i lp=220</v>
      </c>
      <c r="V33" s="27" t="str">
        <f t="shared" si="5"/>
        <v>rokwzgl=17 i lp=220</v>
      </c>
      <c r="W33" s="27" t="str">
        <f t="shared" si="5"/>
        <v>rokwzgl=18 i lp=220</v>
      </c>
      <c r="X33" s="27" t="str">
        <f t="shared" si="6"/>
        <v>rokwzgl=19 i lp=220</v>
      </c>
      <c r="Y33" s="27" t="str">
        <f t="shared" si="6"/>
        <v>rokwzgl=20 i lp=220</v>
      </c>
      <c r="Z33" s="27" t="str">
        <f t="shared" si="6"/>
        <v>rokwzgl=21 i lp=220</v>
      </c>
      <c r="AA33" s="27" t="str">
        <f t="shared" si="6"/>
        <v>rokwzgl=22 i lp=220</v>
      </c>
      <c r="AB33" s="27" t="str">
        <f t="shared" si="6"/>
        <v>rokwzgl=23 i lp=220</v>
      </c>
      <c r="AC33" s="27" t="str">
        <f t="shared" si="6"/>
        <v>rokwzgl=24 i lp=220</v>
      </c>
      <c r="AD33" s="27" t="str">
        <f t="shared" si="6"/>
        <v>rokwzgl=25 i lp=220</v>
      </c>
      <c r="AE33" s="27" t="str">
        <f t="shared" si="6"/>
        <v>rokwzgl=26 i lp=220</v>
      </c>
      <c r="AF33" s="27" t="str">
        <f t="shared" si="6"/>
        <v>rokwzgl=27 i lp=220</v>
      </c>
      <c r="AG33" s="27" t="str">
        <f t="shared" si="6"/>
        <v>rokwzgl=28 i lp=220</v>
      </c>
      <c r="AH33" s="27" t="str">
        <f t="shared" si="6"/>
        <v>rokwzgl=29 i lp=220</v>
      </c>
    </row>
    <row r="34" spans="1:34">
      <c r="A34" s="26">
        <v>230</v>
      </c>
      <c r="B34" s="26" t="s">
        <v>67</v>
      </c>
      <c r="C34" s="27" t="s">
        <v>68</v>
      </c>
      <c r="D34" s="27" t="str">
        <f t="shared" si="4"/>
        <v>rokwzgl=0 i lp=230</v>
      </c>
      <c r="E34" s="27" t="str">
        <f t="shared" si="4"/>
        <v>rokwzgl=0 i lp=230</v>
      </c>
      <c r="F34" s="27" t="str">
        <f t="shared" si="4"/>
        <v>rokwzgl=1 i lp=230</v>
      </c>
      <c r="G34" s="27" t="str">
        <f t="shared" si="4"/>
        <v>rokwzgl=2 i lp=230</v>
      </c>
      <c r="H34" s="27" t="str">
        <f t="shared" si="4"/>
        <v>rokwzgl=3 i lp=230</v>
      </c>
      <c r="I34" s="27" t="str">
        <f t="shared" si="4"/>
        <v>rokwzgl=4 i lp=230</v>
      </c>
      <c r="J34" s="27" t="str">
        <f t="shared" si="4"/>
        <v>rokwzgl=5 i lp=230</v>
      </c>
      <c r="K34" s="27" t="str">
        <f t="shared" si="4"/>
        <v>rokwzgl=6 i lp=230</v>
      </c>
      <c r="L34" s="27" t="str">
        <f t="shared" si="4"/>
        <v>rokwzgl=7 i lp=230</v>
      </c>
      <c r="M34" s="27" t="str">
        <f t="shared" si="4"/>
        <v>rokwzgl=8 i lp=230</v>
      </c>
      <c r="N34" s="27" t="str">
        <f t="shared" si="5"/>
        <v>rokwzgl=9 i lp=230</v>
      </c>
      <c r="O34" s="27" t="str">
        <f t="shared" si="5"/>
        <v>rokwzgl=10 i lp=230</v>
      </c>
      <c r="P34" s="27" t="str">
        <f t="shared" si="5"/>
        <v>rokwzgl=11 i lp=230</v>
      </c>
      <c r="Q34" s="27" t="str">
        <f t="shared" si="5"/>
        <v>rokwzgl=12 i lp=230</v>
      </c>
      <c r="R34" s="27" t="str">
        <f t="shared" si="5"/>
        <v>rokwzgl=13 i lp=230</v>
      </c>
      <c r="S34" s="27" t="str">
        <f t="shared" si="5"/>
        <v>rokwzgl=14 i lp=230</v>
      </c>
      <c r="T34" s="27" t="str">
        <f t="shared" si="5"/>
        <v>rokwzgl=15 i lp=230</v>
      </c>
      <c r="U34" s="27" t="str">
        <f t="shared" si="5"/>
        <v>rokwzgl=16 i lp=230</v>
      </c>
      <c r="V34" s="27" t="str">
        <f t="shared" si="5"/>
        <v>rokwzgl=17 i lp=230</v>
      </c>
      <c r="W34" s="27" t="str">
        <f t="shared" si="5"/>
        <v>rokwzgl=18 i lp=230</v>
      </c>
      <c r="X34" s="27" t="str">
        <f t="shared" si="6"/>
        <v>rokwzgl=19 i lp=230</v>
      </c>
      <c r="Y34" s="27" t="str">
        <f t="shared" si="6"/>
        <v>rokwzgl=20 i lp=230</v>
      </c>
      <c r="Z34" s="27" t="str">
        <f t="shared" si="6"/>
        <v>rokwzgl=21 i lp=230</v>
      </c>
      <c r="AA34" s="27" t="str">
        <f t="shared" si="6"/>
        <v>rokwzgl=22 i lp=230</v>
      </c>
      <c r="AB34" s="27" t="str">
        <f t="shared" si="6"/>
        <v>rokwzgl=23 i lp=230</v>
      </c>
      <c r="AC34" s="27" t="str">
        <f t="shared" si="6"/>
        <v>rokwzgl=24 i lp=230</v>
      </c>
      <c r="AD34" s="27" t="str">
        <f t="shared" si="6"/>
        <v>rokwzgl=25 i lp=230</v>
      </c>
      <c r="AE34" s="27" t="str">
        <f t="shared" si="6"/>
        <v>rokwzgl=26 i lp=230</v>
      </c>
      <c r="AF34" s="27" t="str">
        <f t="shared" si="6"/>
        <v>rokwzgl=27 i lp=230</v>
      </c>
      <c r="AG34" s="27" t="str">
        <f t="shared" si="6"/>
        <v>rokwzgl=28 i lp=230</v>
      </c>
      <c r="AH34" s="27" t="str">
        <f t="shared" si="6"/>
        <v>rokwzgl=29 i lp=230</v>
      </c>
    </row>
    <row r="35" spans="1:34">
      <c r="A35" s="26">
        <v>240</v>
      </c>
      <c r="B35" s="26" t="s">
        <v>141</v>
      </c>
      <c r="C35" s="27" t="s">
        <v>69</v>
      </c>
      <c r="D35" s="27" t="str">
        <f t="shared" si="4"/>
        <v>rokwzgl=0 i lp=240</v>
      </c>
      <c r="E35" s="27" t="str">
        <f t="shared" si="4"/>
        <v>rokwzgl=0 i lp=240</v>
      </c>
      <c r="F35" s="27" t="str">
        <f t="shared" si="4"/>
        <v>rokwzgl=1 i lp=240</v>
      </c>
      <c r="G35" s="27" t="str">
        <f t="shared" si="4"/>
        <v>rokwzgl=2 i lp=240</v>
      </c>
      <c r="H35" s="27" t="str">
        <f t="shared" si="4"/>
        <v>rokwzgl=3 i lp=240</v>
      </c>
      <c r="I35" s="27" t="str">
        <f t="shared" si="4"/>
        <v>rokwzgl=4 i lp=240</v>
      </c>
      <c r="J35" s="27" t="str">
        <f t="shared" si="4"/>
        <v>rokwzgl=5 i lp=240</v>
      </c>
      <c r="K35" s="27" t="str">
        <f t="shared" si="4"/>
        <v>rokwzgl=6 i lp=240</v>
      </c>
      <c r="L35" s="27" t="str">
        <f t="shared" si="4"/>
        <v>rokwzgl=7 i lp=240</v>
      </c>
      <c r="M35" s="27" t="str">
        <f t="shared" si="4"/>
        <v>rokwzgl=8 i lp=240</v>
      </c>
      <c r="N35" s="27" t="str">
        <f t="shared" si="5"/>
        <v>rokwzgl=9 i lp=240</v>
      </c>
      <c r="O35" s="27" t="str">
        <f t="shared" si="5"/>
        <v>rokwzgl=10 i lp=240</v>
      </c>
      <c r="P35" s="27" t="str">
        <f t="shared" si="5"/>
        <v>rokwzgl=11 i lp=240</v>
      </c>
      <c r="Q35" s="27" t="str">
        <f t="shared" si="5"/>
        <v>rokwzgl=12 i lp=240</v>
      </c>
      <c r="R35" s="27" t="str">
        <f t="shared" si="5"/>
        <v>rokwzgl=13 i lp=240</v>
      </c>
      <c r="S35" s="27" t="str">
        <f t="shared" si="5"/>
        <v>rokwzgl=14 i lp=240</v>
      </c>
      <c r="T35" s="27" t="str">
        <f t="shared" si="5"/>
        <v>rokwzgl=15 i lp=240</v>
      </c>
      <c r="U35" s="27" t="str">
        <f t="shared" si="5"/>
        <v>rokwzgl=16 i lp=240</v>
      </c>
      <c r="V35" s="27" t="str">
        <f t="shared" si="5"/>
        <v>rokwzgl=17 i lp=240</v>
      </c>
      <c r="W35" s="27" t="str">
        <f t="shared" si="5"/>
        <v>rokwzgl=18 i lp=240</v>
      </c>
      <c r="X35" s="27" t="str">
        <f t="shared" si="6"/>
        <v>rokwzgl=19 i lp=240</v>
      </c>
      <c r="Y35" s="27" t="str">
        <f t="shared" si="6"/>
        <v>rokwzgl=20 i lp=240</v>
      </c>
      <c r="Z35" s="27" t="str">
        <f t="shared" si="6"/>
        <v>rokwzgl=21 i lp=240</v>
      </c>
      <c r="AA35" s="27" t="str">
        <f t="shared" si="6"/>
        <v>rokwzgl=22 i lp=240</v>
      </c>
      <c r="AB35" s="27" t="str">
        <f t="shared" si="6"/>
        <v>rokwzgl=23 i lp=240</v>
      </c>
      <c r="AC35" s="27" t="str">
        <f t="shared" si="6"/>
        <v>rokwzgl=24 i lp=240</v>
      </c>
      <c r="AD35" s="27" t="str">
        <f t="shared" si="6"/>
        <v>rokwzgl=25 i lp=240</v>
      </c>
      <c r="AE35" s="27" t="str">
        <f t="shared" si="6"/>
        <v>rokwzgl=26 i lp=240</v>
      </c>
      <c r="AF35" s="27" t="str">
        <f t="shared" si="6"/>
        <v>rokwzgl=27 i lp=240</v>
      </c>
      <c r="AG35" s="27" t="str">
        <f t="shared" si="6"/>
        <v>rokwzgl=28 i lp=240</v>
      </c>
      <c r="AH35" s="27" t="str">
        <f t="shared" si="6"/>
        <v>rokwzgl=29 i lp=240</v>
      </c>
    </row>
    <row r="36" spans="1:34">
      <c r="A36" s="26">
        <v>250</v>
      </c>
      <c r="B36" s="26" t="s">
        <v>70</v>
      </c>
      <c r="C36" s="27" t="s">
        <v>71</v>
      </c>
      <c r="D36" s="27" t="str">
        <f t="shared" ref="D36:M45" si="7">+"rokwzgl="&amp;D$9&amp;" i lp="&amp;$A36</f>
        <v>rokwzgl=0 i lp=250</v>
      </c>
      <c r="E36" s="27" t="str">
        <f t="shared" si="7"/>
        <v>rokwzgl=0 i lp=250</v>
      </c>
      <c r="F36" s="27" t="str">
        <f t="shared" si="7"/>
        <v>rokwzgl=1 i lp=250</v>
      </c>
      <c r="G36" s="27" t="str">
        <f t="shared" si="7"/>
        <v>rokwzgl=2 i lp=250</v>
      </c>
      <c r="H36" s="27" t="str">
        <f t="shared" si="7"/>
        <v>rokwzgl=3 i lp=250</v>
      </c>
      <c r="I36" s="27" t="str">
        <f t="shared" si="7"/>
        <v>rokwzgl=4 i lp=250</v>
      </c>
      <c r="J36" s="27" t="str">
        <f t="shared" si="7"/>
        <v>rokwzgl=5 i lp=250</v>
      </c>
      <c r="K36" s="27" t="str">
        <f t="shared" si="7"/>
        <v>rokwzgl=6 i lp=250</v>
      </c>
      <c r="L36" s="27" t="str">
        <f t="shared" si="7"/>
        <v>rokwzgl=7 i lp=250</v>
      </c>
      <c r="M36" s="27" t="str">
        <f t="shared" si="7"/>
        <v>rokwzgl=8 i lp=250</v>
      </c>
      <c r="N36" s="27" t="str">
        <f t="shared" ref="N36:W45" si="8">+"rokwzgl="&amp;N$9&amp;" i lp="&amp;$A36</f>
        <v>rokwzgl=9 i lp=250</v>
      </c>
      <c r="O36" s="27" t="str">
        <f t="shared" si="8"/>
        <v>rokwzgl=10 i lp=250</v>
      </c>
      <c r="P36" s="27" t="str">
        <f t="shared" si="8"/>
        <v>rokwzgl=11 i lp=250</v>
      </c>
      <c r="Q36" s="27" t="str">
        <f t="shared" si="8"/>
        <v>rokwzgl=12 i lp=250</v>
      </c>
      <c r="R36" s="27" t="str">
        <f t="shared" si="8"/>
        <v>rokwzgl=13 i lp=250</v>
      </c>
      <c r="S36" s="27" t="str">
        <f t="shared" si="8"/>
        <v>rokwzgl=14 i lp=250</v>
      </c>
      <c r="T36" s="27" t="str">
        <f t="shared" si="8"/>
        <v>rokwzgl=15 i lp=250</v>
      </c>
      <c r="U36" s="27" t="str">
        <f t="shared" si="8"/>
        <v>rokwzgl=16 i lp=250</v>
      </c>
      <c r="V36" s="27" t="str">
        <f t="shared" si="8"/>
        <v>rokwzgl=17 i lp=250</v>
      </c>
      <c r="W36" s="27" t="str">
        <f t="shared" si="8"/>
        <v>rokwzgl=18 i lp=250</v>
      </c>
      <c r="X36" s="27" t="str">
        <f t="shared" ref="X36:AH45" si="9">+"rokwzgl="&amp;X$9&amp;" i lp="&amp;$A36</f>
        <v>rokwzgl=19 i lp=250</v>
      </c>
      <c r="Y36" s="27" t="str">
        <f t="shared" si="9"/>
        <v>rokwzgl=20 i lp=250</v>
      </c>
      <c r="Z36" s="27" t="str">
        <f t="shared" si="9"/>
        <v>rokwzgl=21 i lp=250</v>
      </c>
      <c r="AA36" s="27" t="str">
        <f t="shared" si="9"/>
        <v>rokwzgl=22 i lp=250</v>
      </c>
      <c r="AB36" s="27" t="str">
        <f t="shared" si="9"/>
        <v>rokwzgl=23 i lp=250</v>
      </c>
      <c r="AC36" s="27" t="str">
        <f t="shared" si="9"/>
        <v>rokwzgl=24 i lp=250</v>
      </c>
      <c r="AD36" s="27" t="str">
        <f t="shared" si="9"/>
        <v>rokwzgl=25 i lp=250</v>
      </c>
      <c r="AE36" s="27" t="str">
        <f t="shared" si="9"/>
        <v>rokwzgl=26 i lp=250</v>
      </c>
      <c r="AF36" s="27" t="str">
        <f t="shared" si="9"/>
        <v>rokwzgl=27 i lp=250</v>
      </c>
      <c r="AG36" s="27" t="str">
        <f t="shared" si="9"/>
        <v>rokwzgl=28 i lp=250</v>
      </c>
      <c r="AH36" s="27" t="str">
        <f t="shared" si="9"/>
        <v>rokwzgl=29 i lp=250</v>
      </c>
    </row>
    <row r="37" spans="1:34">
      <c r="A37" s="26">
        <v>260</v>
      </c>
      <c r="B37" s="26" t="s">
        <v>142</v>
      </c>
      <c r="C37" s="27" t="s">
        <v>72</v>
      </c>
      <c r="D37" s="27" t="str">
        <f t="shared" si="7"/>
        <v>rokwzgl=0 i lp=260</v>
      </c>
      <c r="E37" s="27" t="str">
        <f t="shared" si="7"/>
        <v>rokwzgl=0 i lp=260</v>
      </c>
      <c r="F37" s="27" t="str">
        <f t="shared" si="7"/>
        <v>rokwzgl=1 i lp=260</v>
      </c>
      <c r="G37" s="27" t="str">
        <f t="shared" si="7"/>
        <v>rokwzgl=2 i lp=260</v>
      </c>
      <c r="H37" s="27" t="str">
        <f t="shared" si="7"/>
        <v>rokwzgl=3 i lp=260</v>
      </c>
      <c r="I37" s="27" t="str">
        <f t="shared" si="7"/>
        <v>rokwzgl=4 i lp=260</v>
      </c>
      <c r="J37" s="27" t="str">
        <f t="shared" si="7"/>
        <v>rokwzgl=5 i lp=260</v>
      </c>
      <c r="K37" s="27" t="str">
        <f t="shared" si="7"/>
        <v>rokwzgl=6 i lp=260</v>
      </c>
      <c r="L37" s="27" t="str">
        <f t="shared" si="7"/>
        <v>rokwzgl=7 i lp=260</v>
      </c>
      <c r="M37" s="27" t="str">
        <f t="shared" si="7"/>
        <v>rokwzgl=8 i lp=260</v>
      </c>
      <c r="N37" s="27" t="str">
        <f t="shared" si="8"/>
        <v>rokwzgl=9 i lp=260</v>
      </c>
      <c r="O37" s="27" t="str">
        <f t="shared" si="8"/>
        <v>rokwzgl=10 i lp=260</v>
      </c>
      <c r="P37" s="27" t="str">
        <f t="shared" si="8"/>
        <v>rokwzgl=11 i lp=260</v>
      </c>
      <c r="Q37" s="27" t="str">
        <f t="shared" si="8"/>
        <v>rokwzgl=12 i lp=260</v>
      </c>
      <c r="R37" s="27" t="str">
        <f t="shared" si="8"/>
        <v>rokwzgl=13 i lp=260</v>
      </c>
      <c r="S37" s="27" t="str">
        <f t="shared" si="8"/>
        <v>rokwzgl=14 i lp=260</v>
      </c>
      <c r="T37" s="27" t="str">
        <f t="shared" si="8"/>
        <v>rokwzgl=15 i lp=260</v>
      </c>
      <c r="U37" s="27" t="str">
        <f t="shared" si="8"/>
        <v>rokwzgl=16 i lp=260</v>
      </c>
      <c r="V37" s="27" t="str">
        <f t="shared" si="8"/>
        <v>rokwzgl=17 i lp=260</v>
      </c>
      <c r="W37" s="27" t="str">
        <f t="shared" si="8"/>
        <v>rokwzgl=18 i lp=260</v>
      </c>
      <c r="X37" s="27" t="str">
        <f t="shared" si="9"/>
        <v>rokwzgl=19 i lp=260</v>
      </c>
      <c r="Y37" s="27" t="str">
        <f t="shared" si="9"/>
        <v>rokwzgl=20 i lp=260</v>
      </c>
      <c r="Z37" s="27" t="str">
        <f t="shared" si="9"/>
        <v>rokwzgl=21 i lp=260</v>
      </c>
      <c r="AA37" s="27" t="str">
        <f t="shared" si="9"/>
        <v>rokwzgl=22 i lp=260</v>
      </c>
      <c r="AB37" s="27" t="str">
        <f t="shared" si="9"/>
        <v>rokwzgl=23 i lp=260</v>
      </c>
      <c r="AC37" s="27" t="str">
        <f t="shared" si="9"/>
        <v>rokwzgl=24 i lp=260</v>
      </c>
      <c r="AD37" s="27" t="str">
        <f t="shared" si="9"/>
        <v>rokwzgl=25 i lp=260</v>
      </c>
      <c r="AE37" s="27" t="str">
        <f t="shared" si="9"/>
        <v>rokwzgl=26 i lp=260</v>
      </c>
      <c r="AF37" s="27" t="str">
        <f t="shared" si="9"/>
        <v>rokwzgl=27 i lp=260</v>
      </c>
      <c r="AG37" s="27" t="str">
        <f t="shared" si="9"/>
        <v>rokwzgl=28 i lp=260</v>
      </c>
      <c r="AH37" s="27" t="str">
        <f t="shared" si="9"/>
        <v>rokwzgl=29 i lp=260</v>
      </c>
    </row>
    <row r="38" spans="1:34">
      <c r="A38" s="26">
        <v>270</v>
      </c>
      <c r="B38" s="26" t="s">
        <v>73</v>
      </c>
      <c r="C38" s="27" t="s">
        <v>71</v>
      </c>
      <c r="D38" s="27" t="str">
        <f t="shared" si="7"/>
        <v>rokwzgl=0 i lp=270</v>
      </c>
      <c r="E38" s="27" t="str">
        <f t="shared" si="7"/>
        <v>rokwzgl=0 i lp=270</v>
      </c>
      <c r="F38" s="27" t="str">
        <f t="shared" si="7"/>
        <v>rokwzgl=1 i lp=270</v>
      </c>
      <c r="G38" s="27" t="str">
        <f t="shared" si="7"/>
        <v>rokwzgl=2 i lp=270</v>
      </c>
      <c r="H38" s="27" t="str">
        <f t="shared" si="7"/>
        <v>rokwzgl=3 i lp=270</v>
      </c>
      <c r="I38" s="27" t="str">
        <f t="shared" si="7"/>
        <v>rokwzgl=4 i lp=270</v>
      </c>
      <c r="J38" s="27" t="str">
        <f t="shared" si="7"/>
        <v>rokwzgl=5 i lp=270</v>
      </c>
      <c r="K38" s="27" t="str">
        <f t="shared" si="7"/>
        <v>rokwzgl=6 i lp=270</v>
      </c>
      <c r="L38" s="27" t="str">
        <f t="shared" si="7"/>
        <v>rokwzgl=7 i lp=270</v>
      </c>
      <c r="M38" s="27" t="str">
        <f t="shared" si="7"/>
        <v>rokwzgl=8 i lp=270</v>
      </c>
      <c r="N38" s="27" t="str">
        <f t="shared" si="8"/>
        <v>rokwzgl=9 i lp=270</v>
      </c>
      <c r="O38" s="27" t="str">
        <f t="shared" si="8"/>
        <v>rokwzgl=10 i lp=270</v>
      </c>
      <c r="P38" s="27" t="str">
        <f t="shared" si="8"/>
        <v>rokwzgl=11 i lp=270</v>
      </c>
      <c r="Q38" s="27" t="str">
        <f t="shared" si="8"/>
        <v>rokwzgl=12 i lp=270</v>
      </c>
      <c r="R38" s="27" t="str">
        <f t="shared" si="8"/>
        <v>rokwzgl=13 i lp=270</v>
      </c>
      <c r="S38" s="27" t="str">
        <f t="shared" si="8"/>
        <v>rokwzgl=14 i lp=270</v>
      </c>
      <c r="T38" s="27" t="str">
        <f t="shared" si="8"/>
        <v>rokwzgl=15 i lp=270</v>
      </c>
      <c r="U38" s="27" t="str">
        <f t="shared" si="8"/>
        <v>rokwzgl=16 i lp=270</v>
      </c>
      <c r="V38" s="27" t="str">
        <f t="shared" si="8"/>
        <v>rokwzgl=17 i lp=270</v>
      </c>
      <c r="W38" s="27" t="str">
        <f t="shared" si="8"/>
        <v>rokwzgl=18 i lp=270</v>
      </c>
      <c r="X38" s="27" t="str">
        <f t="shared" si="9"/>
        <v>rokwzgl=19 i lp=270</v>
      </c>
      <c r="Y38" s="27" t="str">
        <f t="shared" si="9"/>
        <v>rokwzgl=20 i lp=270</v>
      </c>
      <c r="Z38" s="27" t="str">
        <f t="shared" si="9"/>
        <v>rokwzgl=21 i lp=270</v>
      </c>
      <c r="AA38" s="27" t="str">
        <f t="shared" si="9"/>
        <v>rokwzgl=22 i lp=270</v>
      </c>
      <c r="AB38" s="27" t="str">
        <f t="shared" si="9"/>
        <v>rokwzgl=23 i lp=270</v>
      </c>
      <c r="AC38" s="27" t="str">
        <f t="shared" si="9"/>
        <v>rokwzgl=24 i lp=270</v>
      </c>
      <c r="AD38" s="27" t="str">
        <f t="shared" si="9"/>
        <v>rokwzgl=25 i lp=270</v>
      </c>
      <c r="AE38" s="27" t="str">
        <f t="shared" si="9"/>
        <v>rokwzgl=26 i lp=270</v>
      </c>
      <c r="AF38" s="27" t="str">
        <f t="shared" si="9"/>
        <v>rokwzgl=27 i lp=270</v>
      </c>
      <c r="AG38" s="27" t="str">
        <f t="shared" si="9"/>
        <v>rokwzgl=28 i lp=270</v>
      </c>
      <c r="AH38" s="27" t="str">
        <f t="shared" si="9"/>
        <v>rokwzgl=29 i lp=270</v>
      </c>
    </row>
    <row r="39" spans="1:34">
      <c r="A39" s="26">
        <v>280</v>
      </c>
      <c r="B39" s="26" t="s">
        <v>143</v>
      </c>
      <c r="C39" s="27" t="s">
        <v>74</v>
      </c>
      <c r="D39" s="27" t="str">
        <f t="shared" si="7"/>
        <v>rokwzgl=0 i lp=280</v>
      </c>
      <c r="E39" s="27" t="str">
        <f t="shared" si="7"/>
        <v>rokwzgl=0 i lp=280</v>
      </c>
      <c r="F39" s="27" t="str">
        <f t="shared" si="7"/>
        <v>rokwzgl=1 i lp=280</v>
      </c>
      <c r="G39" s="27" t="str">
        <f t="shared" si="7"/>
        <v>rokwzgl=2 i lp=280</v>
      </c>
      <c r="H39" s="27" t="str">
        <f t="shared" si="7"/>
        <v>rokwzgl=3 i lp=280</v>
      </c>
      <c r="I39" s="27" t="str">
        <f t="shared" si="7"/>
        <v>rokwzgl=4 i lp=280</v>
      </c>
      <c r="J39" s="27" t="str">
        <f t="shared" si="7"/>
        <v>rokwzgl=5 i lp=280</v>
      </c>
      <c r="K39" s="27" t="str">
        <f t="shared" si="7"/>
        <v>rokwzgl=6 i lp=280</v>
      </c>
      <c r="L39" s="27" t="str">
        <f t="shared" si="7"/>
        <v>rokwzgl=7 i lp=280</v>
      </c>
      <c r="M39" s="27" t="str">
        <f t="shared" si="7"/>
        <v>rokwzgl=8 i lp=280</v>
      </c>
      <c r="N39" s="27" t="str">
        <f t="shared" si="8"/>
        <v>rokwzgl=9 i lp=280</v>
      </c>
      <c r="O39" s="27" t="str">
        <f t="shared" si="8"/>
        <v>rokwzgl=10 i lp=280</v>
      </c>
      <c r="P39" s="27" t="str">
        <f t="shared" si="8"/>
        <v>rokwzgl=11 i lp=280</v>
      </c>
      <c r="Q39" s="27" t="str">
        <f t="shared" si="8"/>
        <v>rokwzgl=12 i lp=280</v>
      </c>
      <c r="R39" s="27" t="str">
        <f t="shared" si="8"/>
        <v>rokwzgl=13 i lp=280</v>
      </c>
      <c r="S39" s="27" t="str">
        <f t="shared" si="8"/>
        <v>rokwzgl=14 i lp=280</v>
      </c>
      <c r="T39" s="27" t="str">
        <f t="shared" si="8"/>
        <v>rokwzgl=15 i lp=280</v>
      </c>
      <c r="U39" s="27" t="str">
        <f t="shared" si="8"/>
        <v>rokwzgl=16 i lp=280</v>
      </c>
      <c r="V39" s="27" t="str">
        <f t="shared" si="8"/>
        <v>rokwzgl=17 i lp=280</v>
      </c>
      <c r="W39" s="27" t="str">
        <f t="shared" si="8"/>
        <v>rokwzgl=18 i lp=280</v>
      </c>
      <c r="X39" s="27" t="str">
        <f t="shared" si="9"/>
        <v>rokwzgl=19 i lp=280</v>
      </c>
      <c r="Y39" s="27" t="str">
        <f t="shared" si="9"/>
        <v>rokwzgl=20 i lp=280</v>
      </c>
      <c r="Z39" s="27" t="str">
        <f t="shared" si="9"/>
        <v>rokwzgl=21 i lp=280</v>
      </c>
      <c r="AA39" s="27" t="str">
        <f t="shared" si="9"/>
        <v>rokwzgl=22 i lp=280</v>
      </c>
      <c r="AB39" s="27" t="str">
        <f t="shared" si="9"/>
        <v>rokwzgl=23 i lp=280</v>
      </c>
      <c r="AC39" s="27" t="str">
        <f t="shared" si="9"/>
        <v>rokwzgl=24 i lp=280</v>
      </c>
      <c r="AD39" s="27" t="str">
        <f t="shared" si="9"/>
        <v>rokwzgl=25 i lp=280</v>
      </c>
      <c r="AE39" s="27" t="str">
        <f t="shared" si="9"/>
        <v>rokwzgl=26 i lp=280</v>
      </c>
      <c r="AF39" s="27" t="str">
        <f t="shared" si="9"/>
        <v>rokwzgl=27 i lp=280</v>
      </c>
      <c r="AG39" s="27" t="str">
        <f t="shared" si="9"/>
        <v>rokwzgl=28 i lp=280</v>
      </c>
      <c r="AH39" s="27" t="str">
        <f t="shared" si="9"/>
        <v>rokwzgl=29 i lp=280</v>
      </c>
    </row>
    <row r="40" spans="1:34">
      <c r="A40" s="26">
        <v>290</v>
      </c>
      <c r="B40" s="26" t="s">
        <v>75</v>
      </c>
      <c r="C40" s="27" t="s">
        <v>71</v>
      </c>
      <c r="D40" s="27" t="str">
        <f t="shared" si="7"/>
        <v>rokwzgl=0 i lp=290</v>
      </c>
      <c r="E40" s="27" t="str">
        <f t="shared" si="7"/>
        <v>rokwzgl=0 i lp=290</v>
      </c>
      <c r="F40" s="27" t="str">
        <f t="shared" si="7"/>
        <v>rokwzgl=1 i lp=290</v>
      </c>
      <c r="G40" s="27" t="str">
        <f t="shared" si="7"/>
        <v>rokwzgl=2 i lp=290</v>
      </c>
      <c r="H40" s="27" t="str">
        <f t="shared" si="7"/>
        <v>rokwzgl=3 i lp=290</v>
      </c>
      <c r="I40" s="27" t="str">
        <f t="shared" si="7"/>
        <v>rokwzgl=4 i lp=290</v>
      </c>
      <c r="J40" s="27" t="str">
        <f t="shared" si="7"/>
        <v>rokwzgl=5 i lp=290</v>
      </c>
      <c r="K40" s="27" t="str">
        <f t="shared" si="7"/>
        <v>rokwzgl=6 i lp=290</v>
      </c>
      <c r="L40" s="27" t="str">
        <f t="shared" si="7"/>
        <v>rokwzgl=7 i lp=290</v>
      </c>
      <c r="M40" s="27" t="str">
        <f t="shared" si="7"/>
        <v>rokwzgl=8 i lp=290</v>
      </c>
      <c r="N40" s="27" t="str">
        <f t="shared" si="8"/>
        <v>rokwzgl=9 i lp=290</v>
      </c>
      <c r="O40" s="27" t="str">
        <f t="shared" si="8"/>
        <v>rokwzgl=10 i lp=290</v>
      </c>
      <c r="P40" s="27" t="str">
        <f t="shared" si="8"/>
        <v>rokwzgl=11 i lp=290</v>
      </c>
      <c r="Q40" s="27" t="str">
        <f t="shared" si="8"/>
        <v>rokwzgl=12 i lp=290</v>
      </c>
      <c r="R40" s="27" t="str">
        <f t="shared" si="8"/>
        <v>rokwzgl=13 i lp=290</v>
      </c>
      <c r="S40" s="27" t="str">
        <f t="shared" si="8"/>
        <v>rokwzgl=14 i lp=290</v>
      </c>
      <c r="T40" s="27" t="str">
        <f t="shared" si="8"/>
        <v>rokwzgl=15 i lp=290</v>
      </c>
      <c r="U40" s="27" t="str">
        <f t="shared" si="8"/>
        <v>rokwzgl=16 i lp=290</v>
      </c>
      <c r="V40" s="27" t="str">
        <f t="shared" si="8"/>
        <v>rokwzgl=17 i lp=290</v>
      </c>
      <c r="W40" s="27" t="str">
        <f t="shared" si="8"/>
        <v>rokwzgl=18 i lp=290</v>
      </c>
      <c r="X40" s="27" t="str">
        <f t="shared" si="9"/>
        <v>rokwzgl=19 i lp=290</v>
      </c>
      <c r="Y40" s="27" t="str">
        <f t="shared" si="9"/>
        <v>rokwzgl=20 i lp=290</v>
      </c>
      <c r="Z40" s="27" t="str">
        <f t="shared" si="9"/>
        <v>rokwzgl=21 i lp=290</v>
      </c>
      <c r="AA40" s="27" t="str">
        <f t="shared" si="9"/>
        <v>rokwzgl=22 i lp=290</v>
      </c>
      <c r="AB40" s="27" t="str">
        <f t="shared" si="9"/>
        <v>rokwzgl=23 i lp=290</v>
      </c>
      <c r="AC40" s="27" t="str">
        <f t="shared" si="9"/>
        <v>rokwzgl=24 i lp=290</v>
      </c>
      <c r="AD40" s="27" t="str">
        <f t="shared" si="9"/>
        <v>rokwzgl=25 i lp=290</v>
      </c>
      <c r="AE40" s="27" t="str">
        <f t="shared" si="9"/>
        <v>rokwzgl=26 i lp=290</v>
      </c>
      <c r="AF40" s="27" t="str">
        <f t="shared" si="9"/>
        <v>rokwzgl=27 i lp=290</v>
      </c>
      <c r="AG40" s="27" t="str">
        <f t="shared" si="9"/>
        <v>rokwzgl=28 i lp=290</v>
      </c>
      <c r="AH40" s="27" t="str">
        <f t="shared" si="9"/>
        <v>rokwzgl=29 i lp=290</v>
      </c>
    </row>
    <row r="41" spans="1:34">
      <c r="A41" s="26">
        <v>300</v>
      </c>
      <c r="B41" s="26">
        <v>5</v>
      </c>
      <c r="C41" s="27" t="s">
        <v>76</v>
      </c>
      <c r="D41" s="27" t="str">
        <f t="shared" si="7"/>
        <v>rokwzgl=0 i lp=300</v>
      </c>
      <c r="E41" s="27" t="str">
        <f t="shared" si="7"/>
        <v>rokwzgl=0 i lp=300</v>
      </c>
      <c r="F41" s="27" t="str">
        <f t="shared" si="7"/>
        <v>rokwzgl=1 i lp=300</v>
      </c>
      <c r="G41" s="27" t="str">
        <f t="shared" si="7"/>
        <v>rokwzgl=2 i lp=300</v>
      </c>
      <c r="H41" s="27" t="str">
        <f t="shared" si="7"/>
        <v>rokwzgl=3 i lp=300</v>
      </c>
      <c r="I41" s="27" t="str">
        <f t="shared" si="7"/>
        <v>rokwzgl=4 i lp=300</v>
      </c>
      <c r="J41" s="27" t="str">
        <f t="shared" si="7"/>
        <v>rokwzgl=5 i lp=300</v>
      </c>
      <c r="K41" s="27" t="str">
        <f t="shared" si="7"/>
        <v>rokwzgl=6 i lp=300</v>
      </c>
      <c r="L41" s="27" t="str">
        <f t="shared" si="7"/>
        <v>rokwzgl=7 i lp=300</v>
      </c>
      <c r="M41" s="27" t="str">
        <f t="shared" si="7"/>
        <v>rokwzgl=8 i lp=300</v>
      </c>
      <c r="N41" s="27" t="str">
        <f t="shared" si="8"/>
        <v>rokwzgl=9 i lp=300</v>
      </c>
      <c r="O41" s="27" t="str">
        <f t="shared" si="8"/>
        <v>rokwzgl=10 i lp=300</v>
      </c>
      <c r="P41" s="27" t="str">
        <f t="shared" si="8"/>
        <v>rokwzgl=11 i lp=300</v>
      </c>
      <c r="Q41" s="27" t="str">
        <f t="shared" si="8"/>
        <v>rokwzgl=12 i lp=300</v>
      </c>
      <c r="R41" s="27" t="str">
        <f t="shared" si="8"/>
        <v>rokwzgl=13 i lp=300</v>
      </c>
      <c r="S41" s="27" t="str">
        <f t="shared" si="8"/>
        <v>rokwzgl=14 i lp=300</v>
      </c>
      <c r="T41" s="27" t="str">
        <f t="shared" si="8"/>
        <v>rokwzgl=15 i lp=300</v>
      </c>
      <c r="U41" s="27" t="str">
        <f t="shared" si="8"/>
        <v>rokwzgl=16 i lp=300</v>
      </c>
      <c r="V41" s="27" t="str">
        <f t="shared" si="8"/>
        <v>rokwzgl=17 i lp=300</v>
      </c>
      <c r="W41" s="27" t="str">
        <f t="shared" si="8"/>
        <v>rokwzgl=18 i lp=300</v>
      </c>
      <c r="X41" s="27" t="str">
        <f t="shared" si="9"/>
        <v>rokwzgl=19 i lp=300</v>
      </c>
      <c r="Y41" s="27" t="str">
        <f t="shared" si="9"/>
        <v>rokwzgl=20 i lp=300</v>
      </c>
      <c r="Z41" s="27" t="str">
        <f t="shared" si="9"/>
        <v>rokwzgl=21 i lp=300</v>
      </c>
      <c r="AA41" s="27" t="str">
        <f t="shared" si="9"/>
        <v>rokwzgl=22 i lp=300</v>
      </c>
      <c r="AB41" s="27" t="str">
        <f t="shared" si="9"/>
        <v>rokwzgl=23 i lp=300</v>
      </c>
      <c r="AC41" s="27" t="str">
        <f t="shared" si="9"/>
        <v>rokwzgl=24 i lp=300</v>
      </c>
      <c r="AD41" s="27" t="str">
        <f t="shared" si="9"/>
        <v>rokwzgl=25 i lp=300</v>
      </c>
      <c r="AE41" s="27" t="str">
        <f t="shared" si="9"/>
        <v>rokwzgl=26 i lp=300</v>
      </c>
      <c r="AF41" s="27" t="str">
        <f t="shared" si="9"/>
        <v>rokwzgl=27 i lp=300</v>
      </c>
      <c r="AG41" s="27" t="str">
        <f t="shared" si="9"/>
        <v>rokwzgl=28 i lp=300</v>
      </c>
      <c r="AH41" s="27" t="str">
        <f t="shared" si="9"/>
        <v>rokwzgl=29 i lp=300</v>
      </c>
    </row>
    <row r="42" spans="1:34">
      <c r="A42" s="26">
        <v>310</v>
      </c>
      <c r="B42" s="26" t="s">
        <v>144</v>
      </c>
      <c r="C42" s="27" t="s">
        <v>77</v>
      </c>
      <c r="D42" s="27" t="str">
        <f t="shared" si="7"/>
        <v>rokwzgl=0 i lp=310</v>
      </c>
      <c r="E42" s="27" t="str">
        <f t="shared" si="7"/>
        <v>rokwzgl=0 i lp=310</v>
      </c>
      <c r="F42" s="27" t="str">
        <f t="shared" si="7"/>
        <v>rokwzgl=1 i lp=310</v>
      </c>
      <c r="G42" s="27" t="str">
        <f t="shared" si="7"/>
        <v>rokwzgl=2 i lp=310</v>
      </c>
      <c r="H42" s="27" t="str">
        <f t="shared" si="7"/>
        <v>rokwzgl=3 i lp=310</v>
      </c>
      <c r="I42" s="27" t="str">
        <f t="shared" si="7"/>
        <v>rokwzgl=4 i lp=310</v>
      </c>
      <c r="J42" s="27" t="str">
        <f t="shared" si="7"/>
        <v>rokwzgl=5 i lp=310</v>
      </c>
      <c r="K42" s="27" t="str">
        <f t="shared" si="7"/>
        <v>rokwzgl=6 i lp=310</v>
      </c>
      <c r="L42" s="27" t="str">
        <f t="shared" si="7"/>
        <v>rokwzgl=7 i lp=310</v>
      </c>
      <c r="M42" s="27" t="str">
        <f t="shared" si="7"/>
        <v>rokwzgl=8 i lp=310</v>
      </c>
      <c r="N42" s="27" t="str">
        <f t="shared" si="8"/>
        <v>rokwzgl=9 i lp=310</v>
      </c>
      <c r="O42" s="27" t="str">
        <f t="shared" si="8"/>
        <v>rokwzgl=10 i lp=310</v>
      </c>
      <c r="P42" s="27" t="str">
        <f t="shared" si="8"/>
        <v>rokwzgl=11 i lp=310</v>
      </c>
      <c r="Q42" s="27" t="str">
        <f t="shared" si="8"/>
        <v>rokwzgl=12 i lp=310</v>
      </c>
      <c r="R42" s="27" t="str">
        <f t="shared" si="8"/>
        <v>rokwzgl=13 i lp=310</v>
      </c>
      <c r="S42" s="27" t="str">
        <f t="shared" si="8"/>
        <v>rokwzgl=14 i lp=310</v>
      </c>
      <c r="T42" s="27" t="str">
        <f t="shared" si="8"/>
        <v>rokwzgl=15 i lp=310</v>
      </c>
      <c r="U42" s="27" t="str">
        <f t="shared" si="8"/>
        <v>rokwzgl=16 i lp=310</v>
      </c>
      <c r="V42" s="27" t="str">
        <f t="shared" si="8"/>
        <v>rokwzgl=17 i lp=310</v>
      </c>
      <c r="W42" s="27" t="str">
        <f t="shared" si="8"/>
        <v>rokwzgl=18 i lp=310</v>
      </c>
      <c r="X42" s="27" t="str">
        <f t="shared" si="9"/>
        <v>rokwzgl=19 i lp=310</v>
      </c>
      <c r="Y42" s="27" t="str">
        <f t="shared" si="9"/>
        <v>rokwzgl=20 i lp=310</v>
      </c>
      <c r="Z42" s="27" t="str">
        <f t="shared" si="9"/>
        <v>rokwzgl=21 i lp=310</v>
      </c>
      <c r="AA42" s="27" t="str">
        <f t="shared" si="9"/>
        <v>rokwzgl=22 i lp=310</v>
      </c>
      <c r="AB42" s="27" t="str">
        <f t="shared" si="9"/>
        <v>rokwzgl=23 i lp=310</v>
      </c>
      <c r="AC42" s="27" t="str">
        <f t="shared" si="9"/>
        <v>rokwzgl=24 i lp=310</v>
      </c>
      <c r="AD42" s="27" t="str">
        <f t="shared" si="9"/>
        <v>rokwzgl=25 i lp=310</v>
      </c>
      <c r="AE42" s="27" t="str">
        <f t="shared" si="9"/>
        <v>rokwzgl=26 i lp=310</v>
      </c>
      <c r="AF42" s="27" t="str">
        <f t="shared" si="9"/>
        <v>rokwzgl=27 i lp=310</v>
      </c>
      <c r="AG42" s="27" t="str">
        <f t="shared" si="9"/>
        <v>rokwzgl=28 i lp=310</v>
      </c>
      <c r="AH42" s="27" t="str">
        <f t="shared" si="9"/>
        <v>rokwzgl=29 i lp=310</v>
      </c>
    </row>
    <row r="43" spans="1:34">
      <c r="A43" s="26">
        <v>320</v>
      </c>
      <c r="B43" s="26" t="s">
        <v>78</v>
      </c>
      <c r="C43" s="27" t="s">
        <v>376</v>
      </c>
      <c r="D43" s="27" t="str">
        <f t="shared" si="7"/>
        <v>rokwzgl=0 i lp=320</v>
      </c>
      <c r="E43" s="27" t="str">
        <f t="shared" si="7"/>
        <v>rokwzgl=0 i lp=320</v>
      </c>
      <c r="F43" s="27" t="str">
        <f t="shared" si="7"/>
        <v>rokwzgl=1 i lp=320</v>
      </c>
      <c r="G43" s="27" t="str">
        <f t="shared" si="7"/>
        <v>rokwzgl=2 i lp=320</v>
      </c>
      <c r="H43" s="27" t="str">
        <f t="shared" si="7"/>
        <v>rokwzgl=3 i lp=320</v>
      </c>
      <c r="I43" s="27" t="str">
        <f t="shared" si="7"/>
        <v>rokwzgl=4 i lp=320</v>
      </c>
      <c r="J43" s="27" t="str">
        <f t="shared" si="7"/>
        <v>rokwzgl=5 i lp=320</v>
      </c>
      <c r="K43" s="27" t="str">
        <f t="shared" si="7"/>
        <v>rokwzgl=6 i lp=320</v>
      </c>
      <c r="L43" s="27" t="str">
        <f t="shared" si="7"/>
        <v>rokwzgl=7 i lp=320</v>
      </c>
      <c r="M43" s="27" t="str">
        <f t="shared" si="7"/>
        <v>rokwzgl=8 i lp=320</v>
      </c>
      <c r="N43" s="27" t="str">
        <f t="shared" si="8"/>
        <v>rokwzgl=9 i lp=320</v>
      </c>
      <c r="O43" s="27" t="str">
        <f t="shared" si="8"/>
        <v>rokwzgl=10 i lp=320</v>
      </c>
      <c r="P43" s="27" t="str">
        <f t="shared" si="8"/>
        <v>rokwzgl=11 i lp=320</v>
      </c>
      <c r="Q43" s="27" t="str">
        <f t="shared" si="8"/>
        <v>rokwzgl=12 i lp=320</v>
      </c>
      <c r="R43" s="27" t="str">
        <f t="shared" si="8"/>
        <v>rokwzgl=13 i lp=320</v>
      </c>
      <c r="S43" s="27" t="str">
        <f t="shared" si="8"/>
        <v>rokwzgl=14 i lp=320</v>
      </c>
      <c r="T43" s="27" t="str">
        <f t="shared" si="8"/>
        <v>rokwzgl=15 i lp=320</v>
      </c>
      <c r="U43" s="27" t="str">
        <f t="shared" si="8"/>
        <v>rokwzgl=16 i lp=320</v>
      </c>
      <c r="V43" s="27" t="str">
        <f t="shared" si="8"/>
        <v>rokwzgl=17 i lp=320</v>
      </c>
      <c r="W43" s="27" t="str">
        <f t="shared" si="8"/>
        <v>rokwzgl=18 i lp=320</v>
      </c>
      <c r="X43" s="27" t="str">
        <f t="shared" si="9"/>
        <v>rokwzgl=19 i lp=320</v>
      </c>
      <c r="Y43" s="27" t="str">
        <f t="shared" si="9"/>
        <v>rokwzgl=20 i lp=320</v>
      </c>
      <c r="Z43" s="27" t="str">
        <f t="shared" si="9"/>
        <v>rokwzgl=21 i lp=320</v>
      </c>
      <c r="AA43" s="27" t="str">
        <f t="shared" si="9"/>
        <v>rokwzgl=22 i lp=320</v>
      </c>
      <c r="AB43" s="27" t="str">
        <f t="shared" si="9"/>
        <v>rokwzgl=23 i lp=320</v>
      </c>
      <c r="AC43" s="27" t="str">
        <f t="shared" si="9"/>
        <v>rokwzgl=24 i lp=320</v>
      </c>
      <c r="AD43" s="27" t="str">
        <f t="shared" si="9"/>
        <v>rokwzgl=25 i lp=320</v>
      </c>
      <c r="AE43" s="27" t="str">
        <f t="shared" si="9"/>
        <v>rokwzgl=26 i lp=320</v>
      </c>
      <c r="AF43" s="27" t="str">
        <f t="shared" si="9"/>
        <v>rokwzgl=27 i lp=320</v>
      </c>
      <c r="AG43" s="27" t="str">
        <f t="shared" si="9"/>
        <v>rokwzgl=28 i lp=320</v>
      </c>
      <c r="AH43" s="27" t="str">
        <f t="shared" si="9"/>
        <v>rokwzgl=29 i lp=320</v>
      </c>
    </row>
    <row r="44" spans="1:34">
      <c r="A44" s="26">
        <v>332</v>
      </c>
      <c r="B44" s="26" t="s">
        <v>79</v>
      </c>
      <c r="C44" s="27" t="s">
        <v>377</v>
      </c>
      <c r="D44" s="27" t="str">
        <f t="shared" si="7"/>
        <v>rokwzgl=0 i lp=332</v>
      </c>
      <c r="E44" s="27" t="str">
        <f t="shared" si="7"/>
        <v>rokwzgl=0 i lp=332</v>
      </c>
      <c r="F44" s="27" t="str">
        <f t="shared" si="7"/>
        <v>rokwzgl=1 i lp=332</v>
      </c>
      <c r="G44" s="27" t="str">
        <f t="shared" si="7"/>
        <v>rokwzgl=2 i lp=332</v>
      </c>
      <c r="H44" s="27" t="str">
        <f t="shared" si="7"/>
        <v>rokwzgl=3 i lp=332</v>
      </c>
      <c r="I44" s="27" t="str">
        <f t="shared" si="7"/>
        <v>rokwzgl=4 i lp=332</v>
      </c>
      <c r="J44" s="27" t="str">
        <f t="shared" si="7"/>
        <v>rokwzgl=5 i lp=332</v>
      </c>
      <c r="K44" s="27" t="str">
        <f t="shared" si="7"/>
        <v>rokwzgl=6 i lp=332</v>
      </c>
      <c r="L44" s="27" t="str">
        <f t="shared" si="7"/>
        <v>rokwzgl=7 i lp=332</v>
      </c>
      <c r="M44" s="27" t="str">
        <f t="shared" si="7"/>
        <v>rokwzgl=8 i lp=332</v>
      </c>
      <c r="N44" s="27" t="str">
        <f t="shared" si="8"/>
        <v>rokwzgl=9 i lp=332</v>
      </c>
      <c r="O44" s="27" t="str">
        <f t="shared" si="8"/>
        <v>rokwzgl=10 i lp=332</v>
      </c>
      <c r="P44" s="27" t="str">
        <f t="shared" si="8"/>
        <v>rokwzgl=11 i lp=332</v>
      </c>
      <c r="Q44" s="27" t="str">
        <f t="shared" si="8"/>
        <v>rokwzgl=12 i lp=332</v>
      </c>
      <c r="R44" s="27" t="str">
        <f t="shared" si="8"/>
        <v>rokwzgl=13 i lp=332</v>
      </c>
      <c r="S44" s="27" t="str">
        <f t="shared" si="8"/>
        <v>rokwzgl=14 i lp=332</v>
      </c>
      <c r="T44" s="27" t="str">
        <f t="shared" si="8"/>
        <v>rokwzgl=15 i lp=332</v>
      </c>
      <c r="U44" s="27" t="str">
        <f t="shared" si="8"/>
        <v>rokwzgl=16 i lp=332</v>
      </c>
      <c r="V44" s="27" t="str">
        <f t="shared" si="8"/>
        <v>rokwzgl=17 i lp=332</v>
      </c>
      <c r="W44" s="27" t="str">
        <f t="shared" si="8"/>
        <v>rokwzgl=18 i lp=332</v>
      </c>
      <c r="X44" s="27" t="str">
        <f t="shared" si="9"/>
        <v>rokwzgl=19 i lp=332</v>
      </c>
      <c r="Y44" s="27" t="str">
        <f t="shared" si="9"/>
        <v>rokwzgl=20 i lp=332</v>
      </c>
      <c r="Z44" s="27" t="str">
        <f t="shared" si="9"/>
        <v>rokwzgl=21 i lp=332</v>
      </c>
      <c r="AA44" s="27" t="str">
        <f t="shared" si="9"/>
        <v>rokwzgl=22 i lp=332</v>
      </c>
      <c r="AB44" s="27" t="str">
        <f t="shared" si="9"/>
        <v>rokwzgl=23 i lp=332</v>
      </c>
      <c r="AC44" s="27" t="str">
        <f t="shared" si="9"/>
        <v>rokwzgl=24 i lp=332</v>
      </c>
      <c r="AD44" s="27" t="str">
        <f t="shared" si="9"/>
        <v>rokwzgl=25 i lp=332</v>
      </c>
      <c r="AE44" s="27" t="str">
        <f t="shared" si="9"/>
        <v>rokwzgl=26 i lp=332</v>
      </c>
      <c r="AF44" s="27" t="str">
        <f t="shared" si="9"/>
        <v>rokwzgl=27 i lp=332</v>
      </c>
      <c r="AG44" s="27" t="str">
        <f t="shared" si="9"/>
        <v>rokwzgl=28 i lp=332</v>
      </c>
      <c r="AH44" s="27" t="str">
        <f t="shared" si="9"/>
        <v>rokwzgl=29 i lp=332</v>
      </c>
    </row>
    <row r="45" spans="1:34">
      <c r="A45" s="26">
        <v>334</v>
      </c>
      <c r="B45" s="26" t="s">
        <v>378</v>
      </c>
      <c r="C45" s="27" t="s">
        <v>379</v>
      </c>
      <c r="D45" s="27" t="str">
        <f t="shared" si="7"/>
        <v>rokwzgl=0 i lp=334</v>
      </c>
      <c r="E45" s="27" t="str">
        <f t="shared" si="7"/>
        <v>rokwzgl=0 i lp=334</v>
      </c>
      <c r="F45" s="27" t="str">
        <f t="shared" si="7"/>
        <v>rokwzgl=1 i lp=334</v>
      </c>
      <c r="G45" s="27" t="str">
        <f t="shared" si="7"/>
        <v>rokwzgl=2 i lp=334</v>
      </c>
      <c r="H45" s="27" t="str">
        <f t="shared" si="7"/>
        <v>rokwzgl=3 i lp=334</v>
      </c>
      <c r="I45" s="27" t="str">
        <f t="shared" si="7"/>
        <v>rokwzgl=4 i lp=334</v>
      </c>
      <c r="J45" s="27" t="str">
        <f t="shared" si="7"/>
        <v>rokwzgl=5 i lp=334</v>
      </c>
      <c r="K45" s="27" t="str">
        <f t="shared" si="7"/>
        <v>rokwzgl=6 i lp=334</v>
      </c>
      <c r="L45" s="27" t="str">
        <f t="shared" si="7"/>
        <v>rokwzgl=7 i lp=334</v>
      </c>
      <c r="M45" s="27" t="str">
        <f t="shared" si="7"/>
        <v>rokwzgl=8 i lp=334</v>
      </c>
      <c r="N45" s="27" t="str">
        <f t="shared" si="8"/>
        <v>rokwzgl=9 i lp=334</v>
      </c>
      <c r="O45" s="27" t="str">
        <f t="shared" si="8"/>
        <v>rokwzgl=10 i lp=334</v>
      </c>
      <c r="P45" s="27" t="str">
        <f t="shared" si="8"/>
        <v>rokwzgl=11 i lp=334</v>
      </c>
      <c r="Q45" s="27" t="str">
        <f t="shared" si="8"/>
        <v>rokwzgl=12 i lp=334</v>
      </c>
      <c r="R45" s="27" t="str">
        <f t="shared" si="8"/>
        <v>rokwzgl=13 i lp=334</v>
      </c>
      <c r="S45" s="27" t="str">
        <f t="shared" si="8"/>
        <v>rokwzgl=14 i lp=334</v>
      </c>
      <c r="T45" s="27" t="str">
        <f t="shared" si="8"/>
        <v>rokwzgl=15 i lp=334</v>
      </c>
      <c r="U45" s="27" t="str">
        <f t="shared" si="8"/>
        <v>rokwzgl=16 i lp=334</v>
      </c>
      <c r="V45" s="27" t="str">
        <f t="shared" si="8"/>
        <v>rokwzgl=17 i lp=334</v>
      </c>
      <c r="W45" s="27" t="str">
        <f t="shared" si="8"/>
        <v>rokwzgl=18 i lp=334</v>
      </c>
      <c r="X45" s="27" t="str">
        <f t="shared" si="9"/>
        <v>rokwzgl=19 i lp=334</v>
      </c>
      <c r="Y45" s="27" t="str">
        <f t="shared" si="9"/>
        <v>rokwzgl=20 i lp=334</v>
      </c>
      <c r="Z45" s="27" t="str">
        <f t="shared" si="9"/>
        <v>rokwzgl=21 i lp=334</v>
      </c>
      <c r="AA45" s="27" t="str">
        <f t="shared" si="9"/>
        <v>rokwzgl=22 i lp=334</v>
      </c>
      <c r="AB45" s="27" t="str">
        <f t="shared" si="9"/>
        <v>rokwzgl=23 i lp=334</v>
      </c>
      <c r="AC45" s="27" t="str">
        <f t="shared" si="9"/>
        <v>rokwzgl=24 i lp=334</v>
      </c>
      <c r="AD45" s="27" t="str">
        <f t="shared" si="9"/>
        <v>rokwzgl=25 i lp=334</v>
      </c>
      <c r="AE45" s="27" t="str">
        <f t="shared" si="9"/>
        <v>rokwzgl=26 i lp=334</v>
      </c>
      <c r="AF45" s="27" t="str">
        <f t="shared" si="9"/>
        <v>rokwzgl=27 i lp=334</v>
      </c>
      <c r="AG45" s="27" t="str">
        <f t="shared" si="9"/>
        <v>rokwzgl=28 i lp=334</v>
      </c>
      <c r="AH45" s="27" t="str">
        <f t="shared" si="9"/>
        <v>rokwzgl=29 i lp=334</v>
      </c>
    </row>
    <row r="46" spans="1:34">
      <c r="A46" s="26">
        <v>336</v>
      </c>
      <c r="B46" s="26" t="s">
        <v>380</v>
      </c>
      <c r="C46" s="27" t="s">
        <v>381</v>
      </c>
      <c r="D46" s="27" t="str">
        <f t="shared" ref="D46:M55" si="10">+"rokwzgl="&amp;D$9&amp;" i lp="&amp;$A46</f>
        <v>rokwzgl=0 i lp=336</v>
      </c>
      <c r="E46" s="27" t="str">
        <f t="shared" si="10"/>
        <v>rokwzgl=0 i lp=336</v>
      </c>
      <c r="F46" s="27" t="str">
        <f t="shared" si="10"/>
        <v>rokwzgl=1 i lp=336</v>
      </c>
      <c r="G46" s="27" t="str">
        <f t="shared" si="10"/>
        <v>rokwzgl=2 i lp=336</v>
      </c>
      <c r="H46" s="27" t="str">
        <f t="shared" si="10"/>
        <v>rokwzgl=3 i lp=336</v>
      </c>
      <c r="I46" s="27" t="str">
        <f t="shared" si="10"/>
        <v>rokwzgl=4 i lp=336</v>
      </c>
      <c r="J46" s="27" t="str">
        <f t="shared" si="10"/>
        <v>rokwzgl=5 i lp=336</v>
      </c>
      <c r="K46" s="27" t="str">
        <f t="shared" si="10"/>
        <v>rokwzgl=6 i lp=336</v>
      </c>
      <c r="L46" s="27" t="str">
        <f t="shared" si="10"/>
        <v>rokwzgl=7 i lp=336</v>
      </c>
      <c r="M46" s="27" t="str">
        <f t="shared" si="10"/>
        <v>rokwzgl=8 i lp=336</v>
      </c>
      <c r="N46" s="27" t="str">
        <f t="shared" ref="N46:W55" si="11">+"rokwzgl="&amp;N$9&amp;" i lp="&amp;$A46</f>
        <v>rokwzgl=9 i lp=336</v>
      </c>
      <c r="O46" s="27" t="str">
        <f t="shared" si="11"/>
        <v>rokwzgl=10 i lp=336</v>
      </c>
      <c r="P46" s="27" t="str">
        <f t="shared" si="11"/>
        <v>rokwzgl=11 i lp=336</v>
      </c>
      <c r="Q46" s="27" t="str">
        <f t="shared" si="11"/>
        <v>rokwzgl=12 i lp=336</v>
      </c>
      <c r="R46" s="27" t="str">
        <f t="shared" si="11"/>
        <v>rokwzgl=13 i lp=336</v>
      </c>
      <c r="S46" s="27" t="str">
        <f t="shared" si="11"/>
        <v>rokwzgl=14 i lp=336</v>
      </c>
      <c r="T46" s="27" t="str">
        <f t="shared" si="11"/>
        <v>rokwzgl=15 i lp=336</v>
      </c>
      <c r="U46" s="27" t="str">
        <f t="shared" si="11"/>
        <v>rokwzgl=16 i lp=336</v>
      </c>
      <c r="V46" s="27" t="str">
        <f t="shared" si="11"/>
        <v>rokwzgl=17 i lp=336</v>
      </c>
      <c r="W46" s="27" t="str">
        <f t="shared" si="11"/>
        <v>rokwzgl=18 i lp=336</v>
      </c>
      <c r="X46" s="27" t="str">
        <f t="shared" ref="X46:AH55" si="12">+"rokwzgl="&amp;X$9&amp;" i lp="&amp;$A46</f>
        <v>rokwzgl=19 i lp=336</v>
      </c>
      <c r="Y46" s="27" t="str">
        <f t="shared" si="12"/>
        <v>rokwzgl=20 i lp=336</v>
      </c>
      <c r="Z46" s="27" t="str">
        <f t="shared" si="12"/>
        <v>rokwzgl=21 i lp=336</v>
      </c>
      <c r="AA46" s="27" t="str">
        <f t="shared" si="12"/>
        <v>rokwzgl=22 i lp=336</v>
      </c>
      <c r="AB46" s="27" t="str">
        <f t="shared" si="12"/>
        <v>rokwzgl=23 i lp=336</v>
      </c>
      <c r="AC46" s="27" t="str">
        <f t="shared" si="12"/>
        <v>rokwzgl=24 i lp=336</v>
      </c>
      <c r="AD46" s="27" t="str">
        <f t="shared" si="12"/>
        <v>rokwzgl=25 i lp=336</v>
      </c>
      <c r="AE46" s="27" t="str">
        <f t="shared" si="12"/>
        <v>rokwzgl=26 i lp=336</v>
      </c>
      <c r="AF46" s="27" t="str">
        <f t="shared" si="12"/>
        <v>rokwzgl=27 i lp=336</v>
      </c>
      <c r="AG46" s="27" t="str">
        <f t="shared" si="12"/>
        <v>rokwzgl=28 i lp=336</v>
      </c>
      <c r="AH46" s="27" t="str">
        <f t="shared" si="12"/>
        <v>rokwzgl=29 i lp=336</v>
      </c>
    </row>
    <row r="47" spans="1:34">
      <c r="A47" s="26">
        <v>340</v>
      </c>
      <c r="B47" s="26" t="s">
        <v>145</v>
      </c>
      <c r="C47" s="27" t="s">
        <v>80</v>
      </c>
      <c r="D47" s="27" t="str">
        <f t="shared" si="10"/>
        <v>rokwzgl=0 i lp=340</v>
      </c>
      <c r="E47" s="27" t="str">
        <f t="shared" si="10"/>
        <v>rokwzgl=0 i lp=340</v>
      </c>
      <c r="F47" s="27" t="str">
        <f t="shared" si="10"/>
        <v>rokwzgl=1 i lp=340</v>
      </c>
      <c r="G47" s="27" t="str">
        <f t="shared" si="10"/>
        <v>rokwzgl=2 i lp=340</v>
      </c>
      <c r="H47" s="27" t="str">
        <f t="shared" si="10"/>
        <v>rokwzgl=3 i lp=340</v>
      </c>
      <c r="I47" s="27" t="str">
        <f t="shared" si="10"/>
        <v>rokwzgl=4 i lp=340</v>
      </c>
      <c r="J47" s="27" t="str">
        <f t="shared" si="10"/>
        <v>rokwzgl=5 i lp=340</v>
      </c>
      <c r="K47" s="27" t="str">
        <f t="shared" si="10"/>
        <v>rokwzgl=6 i lp=340</v>
      </c>
      <c r="L47" s="27" t="str">
        <f t="shared" si="10"/>
        <v>rokwzgl=7 i lp=340</v>
      </c>
      <c r="M47" s="27" t="str">
        <f t="shared" si="10"/>
        <v>rokwzgl=8 i lp=340</v>
      </c>
      <c r="N47" s="27" t="str">
        <f t="shared" si="11"/>
        <v>rokwzgl=9 i lp=340</v>
      </c>
      <c r="O47" s="27" t="str">
        <f t="shared" si="11"/>
        <v>rokwzgl=10 i lp=340</v>
      </c>
      <c r="P47" s="27" t="str">
        <f t="shared" si="11"/>
        <v>rokwzgl=11 i lp=340</v>
      </c>
      <c r="Q47" s="27" t="str">
        <f t="shared" si="11"/>
        <v>rokwzgl=12 i lp=340</v>
      </c>
      <c r="R47" s="27" t="str">
        <f t="shared" si="11"/>
        <v>rokwzgl=13 i lp=340</v>
      </c>
      <c r="S47" s="27" t="str">
        <f t="shared" si="11"/>
        <v>rokwzgl=14 i lp=340</v>
      </c>
      <c r="T47" s="27" t="str">
        <f t="shared" si="11"/>
        <v>rokwzgl=15 i lp=340</v>
      </c>
      <c r="U47" s="27" t="str">
        <f t="shared" si="11"/>
        <v>rokwzgl=16 i lp=340</v>
      </c>
      <c r="V47" s="27" t="str">
        <f t="shared" si="11"/>
        <v>rokwzgl=17 i lp=340</v>
      </c>
      <c r="W47" s="27" t="str">
        <f t="shared" si="11"/>
        <v>rokwzgl=18 i lp=340</v>
      </c>
      <c r="X47" s="27" t="str">
        <f t="shared" si="12"/>
        <v>rokwzgl=19 i lp=340</v>
      </c>
      <c r="Y47" s="27" t="str">
        <f t="shared" si="12"/>
        <v>rokwzgl=20 i lp=340</v>
      </c>
      <c r="Z47" s="27" t="str">
        <f t="shared" si="12"/>
        <v>rokwzgl=21 i lp=340</v>
      </c>
      <c r="AA47" s="27" t="str">
        <f t="shared" si="12"/>
        <v>rokwzgl=22 i lp=340</v>
      </c>
      <c r="AB47" s="27" t="str">
        <f t="shared" si="12"/>
        <v>rokwzgl=23 i lp=340</v>
      </c>
      <c r="AC47" s="27" t="str">
        <f t="shared" si="12"/>
        <v>rokwzgl=24 i lp=340</v>
      </c>
      <c r="AD47" s="27" t="str">
        <f t="shared" si="12"/>
        <v>rokwzgl=25 i lp=340</v>
      </c>
      <c r="AE47" s="27" t="str">
        <f t="shared" si="12"/>
        <v>rokwzgl=26 i lp=340</v>
      </c>
      <c r="AF47" s="27" t="str">
        <f t="shared" si="12"/>
        <v>rokwzgl=27 i lp=340</v>
      </c>
      <c r="AG47" s="27" t="str">
        <f t="shared" si="12"/>
        <v>rokwzgl=28 i lp=340</v>
      </c>
      <c r="AH47" s="27" t="str">
        <f t="shared" si="12"/>
        <v>rokwzgl=29 i lp=340</v>
      </c>
    </row>
    <row r="48" spans="1:34">
      <c r="A48" s="26">
        <v>350</v>
      </c>
      <c r="B48" s="26">
        <v>6</v>
      </c>
      <c r="C48" s="27" t="s">
        <v>25</v>
      </c>
      <c r="D48" s="27" t="str">
        <f t="shared" si="10"/>
        <v>rokwzgl=0 i lp=350</v>
      </c>
      <c r="E48" s="27" t="str">
        <f t="shared" si="10"/>
        <v>rokwzgl=0 i lp=350</v>
      </c>
      <c r="F48" s="27" t="str">
        <f t="shared" si="10"/>
        <v>rokwzgl=1 i lp=350</v>
      </c>
      <c r="G48" s="27" t="str">
        <f t="shared" si="10"/>
        <v>rokwzgl=2 i lp=350</v>
      </c>
      <c r="H48" s="27" t="str">
        <f t="shared" si="10"/>
        <v>rokwzgl=3 i lp=350</v>
      </c>
      <c r="I48" s="27" t="str">
        <f t="shared" si="10"/>
        <v>rokwzgl=4 i lp=350</v>
      </c>
      <c r="J48" s="27" t="str">
        <f t="shared" si="10"/>
        <v>rokwzgl=5 i lp=350</v>
      </c>
      <c r="K48" s="27" t="str">
        <f t="shared" si="10"/>
        <v>rokwzgl=6 i lp=350</v>
      </c>
      <c r="L48" s="27" t="str">
        <f t="shared" si="10"/>
        <v>rokwzgl=7 i lp=350</v>
      </c>
      <c r="M48" s="27" t="str">
        <f t="shared" si="10"/>
        <v>rokwzgl=8 i lp=350</v>
      </c>
      <c r="N48" s="27" t="str">
        <f t="shared" si="11"/>
        <v>rokwzgl=9 i lp=350</v>
      </c>
      <c r="O48" s="27" t="str">
        <f t="shared" si="11"/>
        <v>rokwzgl=10 i lp=350</v>
      </c>
      <c r="P48" s="27" t="str">
        <f t="shared" si="11"/>
        <v>rokwzgl=11 i lp=350</v>
      </c>
      <c r="Q48" s="27" t="str">
        <f t="shared" si="11"/>
        <v>rokwzgl=12 i lp=350</v>
      </c>
      <c r="R48" s="27" t="str">
        <f t="shared" si="11"/>
        <v>rokwzgl=13 i lp=350</v>
      </c>
      <c r="S48" s="27" t="str">
        <f t="shared" si="11"/>
        <v>rokwzgl=14 i lp=350</v>
      </c>
      <c r="T48" s="27" t="str">
        <f t="shared" si="11"/>
        <v>rokwzgl=15 i lp=350</v>
      </c>
      <c r="U48" s="27" t="str">
        <f t="shared" si="11"/>
        <v>rokwzgl=16 i lp=350</v>
      </c>
      <c r="V48" s="27" t="str">
        <f t="shared" si="11"/>
        <v>rokwzgl=17 i lp=350</v>
      </c>
      <c r="W48" s="27" t="str">
        <f t="shared" si="11"/>
        <v>rokwzgl=18 i lp=350</v>
      </c>
      <c r="X48" s="27" t="str">
        <f t="shared" si="12"/>
        <v>rokwzgl=19 i lp=350</v>
      </c>
      <c r="Y48" s="27" t="str">
        <f t="shared" si="12"/>
        <v>rokwzgl=20 i lp=350</v>
      </c>
      <c r="Z48" s="27" t="str">
        <f t="shared" si="12"/>
        <v>rokwzgl=21 i lp=350</v>
      </c>
      <c r="AA48" s="27" t="str">
        <f t="shared" si="12"/>
        <v>rokwzgl=22 i lp=350</v>
      </c>
      <c r="AB48" s="27" t="str">
        <f t="shared" si="12"/>
        <v>rokwzgl=23 i lp=350</v>
      </c>
      <c r="AC48" s="27" t="str">
        <f t="shared" si="12"/>
        <v>rokwzgl=24 i lp=350</v>
      </c>
      <c r="AD48" s="27" t="str">
        <f t="shared" si="12"/>
        <v>rokwzgl=25 i lp=350</v>
      </c>
      <c r="AE48" s="27" t="str">
        <f t="shared" si="12"/>
        <v>rokwzgl=26 i lp=350</v>
      </c>
      <c r="AF48" s="27" t="str">
        <f t="shared" si="12"/>
        <v>rokwzgl=27 i lp=350</v>
      </c>
      <c r="AG48" s="27" t="str">
        <f t="shared" si="12"/>
        <v>rokwzgl=28 i lp=350</v>
      </c>
      <c r="AH48" s="27" t="str">
        <f t="shared" si="12"/>
        <v>rokwzgl=29 i lp=350</v>
      </c>
    </row>
    <row r="49" spans="1:34">
      <c r="A49" s="26">
        <v>400</v>
      </c>
      <c r="B49" s="26">
        <v>7</v>
      </c>
      <c r="C49" s="27" t="s">
        <v>81</v>
      </c>
      <c r="D49" s="27" t="str">
        <f t="shared" si="10"/>
        <v>rokwzgl=0 i lp=400</v>
      </c>
      <c r="E49" s="27" t="str">
        <f t="shared" si="10"/>
        <v>rokwzgl=0 i lp=400</v>
      </c>
      <c r="F49" s="27" t="str">
        <f t="shared" si="10"/>
        <v>rokwzgl=1 i lp=400</v>
      </c>
      <c r="G49" s="27" t="str">
        <f t="shared" si="10"/>
        <v>rokwzgl=2 i lp=400</v>
      </c>
      <c r="H49" s="27" t="str">
        <f t="shared" si="10"/>
        <v>rokwzgl=3 i lp=400</v>
      </c>
      <c r="I49" s="27" t="str">
        <f t="shared" si="10"/>
        <v>rokwzgl=4 i lp=400</v>
      </c>
      <c r="J49" s="27" t="str">
        <f t="shared" si="10"/>
        <v>rokwzgl=5 i lp=400</v>
      </c>
      <c r="K49" s="27" t="str">
        <f t="shared" si="10"/>
        <v>rokwzgl=6 i lp=400</v>
      </c>
      <c r="L49" s="27" t="str">
        <f t="shared" si="10"/>
        <v>rokwzgl=7 i lp=400</v>
      </c>
      <c r="M49" s="27" t="str">
        <f t="shared" si="10"/>
        <v>rokwzgl=8 i lp=400</v>
      </c>
      <c r="N49" s="27" t="str">
        <f t="shared" si="11"/>
        <v>rokwzgl=9 i lp=400</v>
      </c>
      <c r="O49" s="27" t="str">
        <f t="shared" si="11"/>
        <v>rokwzgl=10 i lp=400</v>
      </c>
      <c r="P49" s="27" t="str">
        <f t="shared" si="11"/>
        <v>rokwzgl=11 i lp=400</v>
      </c>
      <c r="Q49" s="27" t="str">
        <f t="shared" si="11"/>
        <v>rokwzgl=12 i lp=400</v>
      </c>
      <c r="R49" s="27" t="str">
        <f t="shared" si="11"/>
        <v>rokwzgl=13 i lp=400</v>
      </c>
      <c r="S49" s="27" t="str">
        <f t="shared" si="11"/>
        <v>rokwzgl=14 i lp=400</v>
      </c>
      <c r="T49" s="27" t="str">
        <f t="shared" si="11"/>
        <v>rokwzgl=15 i lp=400</v>
      </c>
      <c r="U49" s="27" t="str">
        <f t="shared" si="11"/>
        <v>rokwzgl=16 i lp=400</v>
      </c>
      <c r="V49" s="27" t="str">
        <f t="shared" si="11"/>
        <v>rokwzgl=17 i lp=400</v>
      </c>
      <c r="W49" s="27" t="str">
        <f t="shared" si="11"/>
        <v>rokwzgl=18 i lp=400</v>
      </c>
      <c r="X49" s="27" t="str">
        <f t="shared" si="12"/>
        <v>rokwzgl=19 i lp=400</v>
      </c>
      <c r="Y49" s="27" t="str">
        <f t="shared" si="12"/>
        <v>rokwzgl=20 i lp=400</v>
      </c>
      <c r="Z49" s="27" t="str">
        <f t="shared" si="12"/>
        <v>rokwzgl=21 i lp=400</v>
      </c>
      <c r="AA49" s="27" t="str">
        <f t="shared" si="12"/>
        <v>rokwzgl=22 i lp=400</v>
      </c>
      <c r="AB49" s="27" t="str">
        <f t="shared" si="12"/>
        <v>rokwzgl=23 i lp=400</v>
      </c>
      <c r="AC49" s="27" t="str">
        <f t="shared" si="12"/>
        <v>rokwzgl=24 i lp=400</v>
      </c>
      <c r="AD49" s="27" t="str">
        <f t="shared" si="12"/>
        <v>rokwzgl=25 i lp=400</v>
      </c>
      <c r="AE49" s="27" t="str">
        <f t="shared" si="12"/>
        <v>rokwzgl=26 i lp=400</v>
      </c>
      <c r="AF49" s="27" t="str">
        <f t="shared" si="12"/>
        <v>rokwzgl=27 i lp=400</v>
      </c>
      <c r="AG49" s="27" t="str">
        <f t="shared" si="12"/>
        <v>rokwzgl=28 i lp=400</v>
      </c>
      <c r="AH49" s="27" t="str">
        <f t="shared" si="12"/>
        <v>rokwzgl=29 i lp=400</v>
      </c>
    </row>
    <row r="50" spans="1:34">
      <c r="A50" s="26">
        <v>410</v>
      </c>
      <c r="B50" s="26">
        <v>8</v>
      </c>
      <c r="C50" s="27" t="s">
        <v>146</v>
      </c>
      <c r="D50" s="27" t="str">
        <f t="shared" si="10"/>
        <v>rokwzgl=0 i lp=410</v>
      </c>
      <c r="E50" s="27" t="str">
        <f t="shared" si="10"/>
        <v>rokwzgl=0 i lp=410</v>
      </c>
      <c r="F50" s="27" t="str">
        <f t="shared" si="10"/>
        <v>rokwzgl=1 i lp=410</v>
      </c>
      <c r="G50" s="27" t="str">
        <f t="shared" si="10"/>
        <v>rokwzgl=2 i lp=410</v>
      </c>
      <c r="H50" s="27" t="str">
        <f t="shared" si="10"/>
        <v>rokwzgl=3 i lp=410</v>
      </c>
      <c r="I50" s="27" t="str">
        <f t="shared" si="10"/>
        <v>rokwzgl=4 i lp=410</v>
      </c>
      <c r="J50" s="27" t="str">
        <f t="shared" si="10"/>
        <v>rokwzgl=5 i lp=410</v>
      </c>
      <c r="K50" s="27" t="str">
        <f t="shared" si="10"/>
        <v>rokwzgl=6 i lp=410</v>
      </c>
      <c r="L50" s="27" t="str">
        <f t="shared" si="10"/>
        <v>rokwzgl=7 i lp=410</v>
      </c>
      <c r="M50" s="27" t="str">
        <f t="shared" si="10"/>
        <v>rokwzgl=8 i lp=410</v>
      </c>
      <c r="N50" s="27" t="str">
        <f t="shared" si="11"/>
        <v>rokwzgl=9 i lp=410</v>
      </c>
      <c r="O50" s="27" t="str">
        <f t="shared" si="11"/>
        <v>rokwzgl=10 i lp=410</v>
      </c>
      <c r="P50" s="27" t="str">
        <f t="shared" si="11"/>
        <v>rokwzgl=11 i lp=410</v>
      </c>
      <c r="Q50" s="27" t="str">
        <f t="shared" si="11"/>
        <v>rokwzgl=12 i lp=410</v>
      </c>
      <c r="R50" s="27" t="str">
        <f t="shared" si="11"/>
        <v>rokwzgl=13 i lp=410</v>
      </c>
      <c r="S50" s="27" t="str">
        <f t="shared" si="11"/>
        <v>rokwzgl=14 i lp=410</v>
      </c>
      <c r="T50" s="27" t="str">
        <f t="shared" si="11"/>
        <v>rokwzgl=15 i lp=410</v>
      </c>
      <c r="U50" s="27" t="str">
        <f t="shared" si="11"/>
        <v>rokwzgl=16 i lp=410</v>
      </c>
      <c r="V50" s="27" t="str">
        <f t="shared" si="11"/>
        <v>rokwzgl=17 i lp=410</v>
      </c>
      <c r="W50" s="27" t="str">
        <f t="shared" si="11"/>
        <v>rokwzgl=18 i lp=410</v>
      </c>
      <c r="X50" s="27" t="str">
        <f t="shared" si="12"/>
        <v>rokwzgl=19 i lp=410</v>
      </c>
      <c r="Y50" s="27" t="str">
        <f t="shared" si="12"/>
        <v>rokwzgl=20 i lp=410</v>
      </c>
      <c r="Z50" s="27" t="str">
        <f t="shared" si="12"/>
        <v>rokwzgl=21 i lp=410</v>
      </c>
      <c r="AA50" s="27" t="str">
        <f t="shared" si="12"/>
        <v>rokwzgl=22 i lp=410</v>
      </c>
      <c r="AB50" s="27" t="str">
        <f t="shared" si="12"/>
        <v>rokwzgl=23 i lp=410</v>
      </c>
      <c r="AC50" s="27" t="str">
        <f t="shared" si="12"/>
        <v>rokwzgl=24 i lp=410</v>
      </c>
      <c r="AD50" s="27" t="str">
        <f t="shared" si="12"/>
        <v>rokwzgl=25 i lp=410</v>
      </c>
      <c r="AE50" s="27" t="str">
        <f t="shared" si="12"/>
        <v>rokwzgl=26 i lp=410</v>
      </c>
      <c r="AF50" s="27" t="str">
        <f t="shared" si="12"/>
        <v>rokwzgl=27 i lp=410</v>
      </c>
      <c r="AG50" s="27" t="str">
        <f t="shared" si="12"/>
        <v>rokwzgl=28 i lp=410</v>
      </c>
      <c r="AH50" s="27" t="str">
        <f t="shared" si="12"/>
        <v>rokwzgl=29 i lp=410</v>
      </c>
    </row>
    <row r="51" spans="1:34">
      <c r="A51" s="26">
        <v>420</v>
      </c>
      <c r="B51" s="26" t="s">
        <v>147</v>
      </c>
      <c r="C51" s="27" t="s">
        <v>82</v>
      </c>
      <c r="D51" s="27" t="str">
        <f t="shared" si="10"/>
        <v>rokwzgl=0 i lp=420</v>
      </c>
      <c r="E51" s="27" t="str">
        <f t="shared" si="10"/>
        <v>rokwzgl=0 i lp=420</v>
      </c>
      <c r="F51" s="27" t="str">
        <f t="shared" si="10"/>
        <v>rokwzgl=1 i lp=420</v>
      </c>
      <c r="G51" s="27" t="str">
        <f t="shared" si="10"/>
        <v>rokwzgl=2 i lp=420</v>
      </c>
      <c r="H51" s="27" t="str">
        <f t="shared" si="10"/>
        <v>rokwzgl=3 i lp=420</v>
      </c>
      <c r="I51" s="27" t="str">
        <f t="shared" si="10"/>
        <v>rokwzgl=4 i lp=420</v>
      </c>
      <c r="J51" s="27" t="str">
        <f t="shared" si="10"/>
        <v>rokwzgl=5 i lp=420</v>
      </c>
      <c r="K51" s="27" t="str">
        <f t="shared" si="10"/>
        <v>rokwzgl=6 i lp=420</v>
      </c>
      <c r="L51" s="27" t="str">
        <f t="shared" si="10"/>
        <v>rokwzgl=7 i lp=420</v>
      </c>
      <c r="M51" s="27" t="str">
        <f t="shared" si="10"/>
        <v>rokwzgl=8 i lp=420</v>
      </c>
      <c r="N51" s="27" t="str">
        <f t="shared" si="11"/>
        <v>rokwzgl=9 i lp=420</v>
      </c>
      <c r="O51" s="27" t="str">
        <f t="shared" si="11"/>
        <v>rokwzgl=10 i lp=420</v>
      </c>
      <c r="P51" s="27" t="str">
        <f t="shared" si="11"/>
        <v>rokwzgl=11 i lp=420</v>
      </c>
      <c r="Q51" s="27" t="str">
        <f t="shared" si="11"/>
        <v>rokwzgl=12 i lp=420</v>
      </c>
      <c r="R51" s="27" t="str">
        <f t="shared" si="11"/>
        <v>rokwzgl=13 i lp=420</v>
      </c>
      <c r="S51" s="27" t="str">
        <f t="shared" si="11"/>
        <v>rokwzgl=14 i lp=420</v>
      </c>
      <c r="T51" s="27" t="str">
        <f t="shared" si="11"/>
        <v>rokwzgl=15 i lp=420</v>
      </c>
      <c r="U51" s="27" t="str">
        <f t="shared" si="11"/>
        <v>rokwzgl=16 i lp=420</v>
      </c>
      <c r="V51" s="27" t="str">
        <f t="shared" si="11"/>
        <v>rokwzgl=17 i lp=420</v>
      </c>
      <c r="W51" s="27" t="str">
        <f t="shared" si="11"/>
        <v>rokwzgl=18 i lp=420</v>
      </c>
      <c r="X51" s="27" t="str">
        <f t="shared" si="12"/>
        <v>rokwzgl=19 i lp=420</v>
      </c>
      <c r="Y51" s="27" t="str">
        <f t="shared" si="12"/>
        <v>rokwzgl=20 i lp=420</v>
      </c>
      <c r="Z51" s="27" t="str">
        <f t="shared" si="12"/>
        <v>rokwzgl=21 i lp=420</v>
      </c>
      <c r="AA51" s="27" t="str">
        <f t="shared" si="12"/>
        <v>rokwzgl=22 i lp=420</v>
      </c>
      <c r="AB51" s="27" t="str">
        <f t="shared" si="12"/>
        <v>rokwzgl=23 i lp=420</v>
      </c>
      <c r="AC51" s="27" t="str">
        <f t="shared" si="12"/>
        <v>rokwzgl=24 i lp=420</v>
      </c>
      <c r="AD51" s="27" t="str">
        <f t="shared" si="12"/>
        <v>rokwzgl=25 i lp=420</v>
      </c>
      <c r="AE51" s="27" t="str">
        <f t="shared" si="12"/>
        <v>rokwzgl=26 i lp=420</v>
      </c>
      <c r="AF51" s="27" t="str">
        <f t="shared" si="12"/>
        <v>rokwzgl=27 i lp=420</v>
      </c>
      <c r="AG51" s="27" t="str">
        <f t="shared" si="12"/>
        <v>rokwzgl=28 i lp=420</v>
      </c>
      <c r="AH51" s="27" t="str">
        <f t="shared" si="12"/>
        <v>rokwzgl=29 i lp=420</v>
      </c>
    </row>
    <row r="52" spans="1:34">
      <c r="A52" s="26">
        <v>430</v>
      </c>
      <c r="B52" s="26" t="s">
        <v>148</v>
      </c>
      <c r="C52" s="27" t="s">
        <v>384</v>
      </c>
      <c r="D52" s="27" t="str">
        <f t="shared" si="10"/>
        <v>rokwzgl=0 i lp=430</v>
      </c>
      <c r="E52" s="27" t="str">
        <f t="shared" si="10"/>
        <v>rokwzgl=0 i lp=430</v>
      </c>
      <c r="F52" s="27" t="str">
        <f t="shared" si="10"/>
        <v>rokwzgl=1 i lp=430</v>
      </c>
      <c r="G52" s="27" t="str">
        <f t="shared" si="10"/>
        <v>rokwzgl=2 i lp=430</v>
      </c>
      <c r="H52" s="27" t="str">
        <f t="shared" si="10"/>
        <v>rokwzgl=3 i lp=430</v>
      </c>
      <c r="I52" s="27" t="str">
        <f t="shared" si="10"/>
        <v>rokwzgl=4 i lp=430</v>
      </c>
      <c r="J52" s="27" t="str">
        <f t="shared" si="10"/>
        <v>rokwzgl=5 i lp=430</v>
      </c>
      <c r="K52" s="27" t="str">
        <f t="shared" si="10"/>
        <v>rokwzgl=6 i lp=430</v>
      </c>
      <c r="L52" s="27" t="str">
        <f t="shared" si="10"/>
        <v>rokwzgl=7 i lp=430</v>
      </c>
      <c r="M52" s="27" t="str">
        <f t="shared" si="10"/>
        <v>rokwzgl=8 i lp=430</v>
      </c>
      <c r="N52" s="27" t="str">
        <f t="shared" si="11"/>
        <v>rokwzgl=9 i lp=430</v>
      </c>
      <c r="O52" s="27" t="str">
        <f t="shared" si="11"/>
        <v>rokwzgl=10 i lp=430</v>
      </c>
      <c r="P52" s="27" t="str">
        <f t="shared" si="11"/>
        <v>rokwzgl=11 i lp=430</v>
      </c>
      <c r="Q52" s="27" t="str">
        <f t="shared" si="11"/>
        <v>rokwzgl=12 i lp=430</v>
      </c>
      <c r="R52" s="27" t="str">
        <f t="shared" si="11"/>
        <v>rokwzgl=13 i lp=430</v>
      </c>
      <c r="S52" s="27" t="str">
        <f t="shared" si="11"/>
        <v>rokwzgl=14 i lp=430</v>
      </c>
      <c r="T52" s="27" t="str">
        <f t="shared" si="11"/>
        <v>rokwzgl=15 i lp=430</v>
      </c>
      <c r="U52" s="27" t="str">
        <f t="shared" si="11"/>
        <v>rokwzgl=16 i lp=430</v>
      </c>
      <c r="V52" s="27" t="str">
        <f t="shared" si="11"/>
        <v>rokwzgl=17 i lp=430</v>
      </c>
      <c r="W52" s="27" t="str">
        <f t="shared" si="11"/>
        <v>rokwzgl=18 i lp=430</v>
      </c>
      <c r="X52" s="27" t="str">
        <f t="shared" si="12"/>
        <v>rokwzgl=19 i lp=430</v>
      </c>
      <c r="Y52" s="27" t="str">
        <f t="shared" si="12"/>
        <v>rokwzgl=20 i lp=430</v>
      </c>
      <c r="Z52" s="27" t="str">
        <f t="shared" si="12"/>
        <v>rokwzgl=21 i lp=430</v>
      </c>
      <c r="AA52" s="27" t="str">
        <f t="shared" si="12"/>
        <v>rokwzgl=22 i lp=430</v>
      </c>
      <c r="AB52" s="27" t="str">
        <f t="shared" si="12"/>
        <v>rokwzgl=23 i lp=430</v>
      </c>
      <c r="AC52" s="27" t="str">
        <f t="shared" si="12"/>
        <v>rokwzgl=24 i lp=430</v>
      </c>
      <c r="AD52" s="27" t="str">
        <f t="shared" si="12"/>
        <v>rokwzgl=25 i lp=430</v>
      </c>
      <c r="AE52" s="27" t="str">
        <f t="shared" si="12"/>
        <v>rokwzgl=26 i lp=430</v>
      </c>
      <c r="AF52" s="27" t="str">
        <f t="shared" si="12"/>
        <v>rokwzgl=27 i lp=430</v>
      </c>
      <c r="AG52" s="27" t="str">
        <f t="shared" si="12"/>
        <v>rokwzgl=28 i lp=430</v>
      </c>
      <c r="AH52" s="27" t="str">
        <f t="shared" si="12"/>
        <v>rokwzgl=29 i lp=430</v>
      </c>
    </row>
    <row r="53" spans="1:34">
      <c r="A53" s="26">
        <v>440</v>
      </c>
      <c r="B53" s="26">
        <v>9</v>
      </c>
      <c r="C53" s="27" t="s">
        <v>149</v>
      </c>
      <c r="D53" s="27" t="str">
        <f t="shared" si="10"/>
        <v>rokwzgl=0 i lp=440</v>
      </c>
      <c r="E53" s="27" t="str">
        <f t="shared" si="10"/>
        <v>rokwzgl=0 i lp=440</v>
      </c>
      <c r="F53" s="27" t="str">
        <f t="shared" si="10"/>
        <v>rokwzgl=1 i lp=440</v>
      </c>
      <c r="G53" s="27" t="str">
        <f t="shared" si="10"/>
        <v>rokwzgl=2 i lp=440</v>
      </c>
      <c r="H53" s="27" t="str">
        <f t="shared" si="10"/>
        <v>rokwzgl=3 i lp=440</v>
      </c>
      <c r="I53" s="27" t="str">
        <f t="shared" si="10"/>
        <v>rokwzgl=4 i lp=440</v>
      </c>
      <c r="J53" s="27" t="str">
        <f t="shared" si="10"/>
        <v>rokwzgl=5 i lp=440</v>
      </c>
      <c r="K53" s="27" t="str">
        <f t="shared" si="10"/>
        <v>rokwzgl=6 i lp=440</v>
      </c>
      <c r="L53" s="27" t="str">
        <f t="shared" si="10"/>
        <v>rokwzgl=7 i lp=440</v>
      </c>
      <c r="M53" s="27" t="str">
        <f t="shared" si="10"/>
        <v>rokwzgl=8 i lp=440</v>
      </c>
      <c r="N53" s="27" t="str">
        <f t="shared" si="11"/>
        <v>rokwzgl=9 i lp=440</v>
      </c>
      <c r="O53" s="27" t="str">
        <f t="shared" si="11"/>
        <v>rokwzgl=10 i lp=440</v>
      </c>
      <c r="P53" s="27" t="str">
        <f t="shared" si="11"/>
        <v>rokwzgl=11 i lp=440</v>
      </c>
      <c r="Q53" s="27" t="str">
        <f t="shared" si="11"/>
        <v>rokwzgl=12 i lp=440</v>
      </c>
      <c r="R53" s="27" t="str">
        <f t="shared" si="11"/>
        <v>rokwzgl=13 i lp=440</v>
      </c>
      <c r="S53" s="27" t="str">
        <f t="shared" si="11"/>
        <v>rokwzgl=14 i lp=440</v>
      </c>
      <c r="T53" s="27" t="str">
        <f t="shared" si="11"/>
        <v>rokwzgl=15 i lp=440</v>
      </c>
      <c r="U53" s="27" t="str">
        <f t="shared" si="11"/>
        <v>rokwzgl=16 i lp=440</v>
      </c>
      <c r="V53" s="27" t="str">
        <f t="shared" si="11"/>
        <v>rokwzgl=17 i lp=440</v>
      </c>
      <c r="W53" s="27" t="str">
        <f t="shared" si="11"/>
        <v>rokwzgl=18 i lp=440</v>
      </c>
      <c r="X53" s="27" t="str">
        <f t="shared" si="12"/>
        <v>rokwzgl=19 i lp=440</v>
      </c>
      <c r="Y53" s="27" t="str">
        <f t="shared" si="12"/>
        <v>rokwzgl=20 i lp=440</v>
      </c>
      <c r="Z53" s="27" t="str">
        <f t="shared" si="12"/>
        <v>rokwzgl=21 i lp=440</v>
      </c>
      <c r="AA53" s="27" t="str">
        <f t="shared" si="12"/>
        <v>rokwzgl=22 i lp=440</v>
      </c>
      <c r="AB53" s="27" t="str">
        <f t="shared" si="12"/>
        <v>rokwzgl=23 i lp=440</v>
      </c>
      <c r="AC53" s="27" t="str">
        <f t="shared" si="12"/>
        <v>rokwzgl=24 i lp=440</v>
      </c>
      <c r="AD53" s="27" t="str">
        <f t="shared" si="12"/>
        <v>rokwzgl=25 i lp=440</v>
      </c>
      <c r="AE53" s="27" t="str">
        <f t="shared" si="12"/>
        <v>rokwzgl=26 i lp=440</v>
      </c>
      <c r="AF53" s="27" t="str">
        <f t="shared" si="12"/>
        <v>rokwzgl=27 i lp=440</v>
      </c>
      <c r="AG53" s="27" t="str">
        <f t="shared" si="12"/>
        <v>rokwzgl=28 i lp=440</v>
      </c>
      <c r="AH53" s="27" t="str">
        <f t="shared" si="12"/>
        <v>rokwzgl=29 i lp=440</v>
      </c>
    </row>
    <row r="54" spans="1:34">
      <c r="A54" s="26">
        <v>470</v>
      </c>
      <c r="B54" s="26" t="s">
        <v>150</v>
      </c>
      <c r="C54" s="27" t="s">
        <v>386</v>
      </c>
      <c r="D54" s="27" t="str">
        <f t="shared" si="10"/>
        <v>rokwzgl=0 i lp=470</v>
      </c>
      <c r="E54" s="27" t="str">
        <f t="shared" si="10"/>
        <v>rokwzgl=0 i lp=470</v>
      </c>
      <c r="F54" s="27" t="str">
        <f t="shared" si="10"/>
        <v>rokwzgl=1 i lp=470</v>
      </c>
      <c r="G54" s="27" t="str">
        <f t="shared" si="10"/>
        <v>rokwzgl=2 i lp=470</v>
      </c>
      <c r="H54" s="27" t="str">
        <f t="shared" si="10"/>
        <v>rokwzgl=3 i lp=470</v>
      </c>
      <c r="I54" s="27" t="str">
        <f t="shared" si="10"/>
        <v>rokwzgl=4 i lp=470</v>
      </c>
      <c r="J54" s="27" t="str">
        <f t="shared" si="10"/>
        <v>rokwzgl=5 i lp=470</v>
      </c>
      <c r="K54" s="27" t="str">
        <f t="shared" si="10"/>
        <v>rokwzgl=6 i lp=470</v>
      </c>
      <c r="L54" s="27" t="str">
        <f t="shared" si="10"/>
        <v>rokwzgl=7 i lp=470</v>
      </c>
      <c r="M54" s="27" t="str">
        <f t="shared" si="10"/>
        <v>rokwzgl=8 i lp=470</v>
      </c>
      <c r="N54" s="27" t="str">
        <f t="shared" si="11"/>
        <v>rokwzgl=9 i lp=470</v>
      </c>
      <c r="O54" s="27" t="str">
        <f t="shared" si="11"/>
        <v>rokwzgl=10 i lp=470</v>
      </c>
      <c r="P54" s="27" t="str">
        <f t="shared" si="11"/>
        <v>rokwzgl=11 i lp=470</v>
      </c>
      <c r="Q54" s="27" t="str">
        <f t="shared" si="11"/>
        <v>rokwzgl=12 i lp=470</v>
      </c>
      <c r="R54" s="27" t="str">
        <f t="shared" si="11"/>
        <v>rokwzgl=13 i lp=470</v>
      </c>
      <c r="S54" s="27" t="str">
        <f t="shared" si="11"/>
        <v>rokwzgl=14 i lp=470</v>
      </c>
      <c r="T54" s="27" t="str">
        <f t="shared" si="11"/>
        <v>rokwzgl=15 i lp=470</v>
      </c>
      <c r="U54" s="27" t="str">
        <f t="shared" si="11"/>
        <v>rokwzgl=16 i lp=470</v>
      </c>
      <c r="V54" s="27" t="str">
        <f t="shared" si="11"/>
        <v>rokwzgl=17 i lp=470</v>
      </c>
      <c r="W54" s="27" t="str">
        <f t="shared" si="11"/>
        <v>rokwzgl=18 i lp=470</v>
      </c>
      <c r="X54" s="27" t="str">
        <f t="shared" si="12"/>
        <v>rokwzgl=19 i lp=470</v>
      </c>
      <c r="Y54" s="27" t="str">
        <f t="shared" si="12"/>
        <v>rokwzgl=20 i lp=470</v>
      </c>
      <c r="Z54" s="27" t="str">
        <f t="shared" si="12"/>
        <v>rokwzgl=21 i lp=470</v>
      </c>
      <c r="AA54" s="27" t="str">
        <f t="shared" si="12"/>
        <v>rokwzgl=22 i lp=470</v>
      </c>
      <c r="AB54" s="27" t="str">
        <f t="shared" si="12"/>
        <v>rokwzgl=23 i lp=470</v>
      </c>
      <c r="AC54" s="27" t="str">
        <f t="shared" si="12"/>
        <v>rokwzgl=24 i lp=470</v>
      </c>
      <c r="AD54" s="27" t="str">
        <f t="shared" si="12"/>
        <v>rokwzgl=25 i lp=470</v>
      </c>
      <c r="AE54" s="27" t="str">
        <f t="shared" si="12"/>
        <v>rokwzgl=26 i lp=470</v>
      </c>
      <c r="AF54" s="27" t="str">
        <f t="shared" si="12"/>
        <v>rokwzgl=27 i lp=470</v>
      </c>
      <c r="AG54" s="27" t="str">
        <f t="shared" si="12"/>
        <v>rokwzgl=28 i lp=470</v>
      </c>
      <c r="AH54" s="27" t="str">
        <f t="shared" si="12"/>
        <v>rokwzgl=29 i lp=470</v>
      </c>
    </row>
    <row r="55" spans="1:34">
      <c r="A55" s="26">
        <v>480</v>
      </c>
      <c r="B55" s="26" t="s">
        <v>151</v>
      </c>
      <c r="C55" s="27" t="s">
        <v>388</v>
      </c>
      <c r="D55" s="27" t="str">
        <f t="shared" si="10"/>
        <v>rokwzgl=0 i lp=480</v>
      </c>
      <c r="E55" s="27" t="str">
        <f t="shared" si="10"/>
        <v>rokwzgl=0 i lp=480</v>
      </c>
      <c r="F55" s="27" t="str">
        <f t="shared" si="10"/>
        <v>rokwzgl=1 i lp=480</v>
      </c>
      <c r="G55" s="27" t="str">
        <f t="shared" si="10"/>
        <v>rokwzgl=2 i lp=480</v>
      </c>
      <c r="H55" s="27" t="str">
        <f t="shared" si="10"/>
        <v>rokwzgl=3 i lp=480</v>
      </c>
      <c r="I55" s="27" t="str">
        <f t="shared" si="10"/>
        <v>rokwzgl=4 i lp=480</v>
      </c>
      <c r="J55" s="27" t="str">
        <f t="shared" si="10"/>
        <v>rokwzgl=5 i lp=480</v>
      </c>
      <c r="K55" s="27" t="str">
        <f t="shared" si="10"/>
        <v>rokwzgl=6 i lp=480</v>
      </c>
      <c r="L55" s="27" t="str">
        <f t="shared" si="10"/>
        <v>rokwzgl=7 i lp=480</v>
      </c>
      <c r="M55" s="27" t="str">
        <f t="shared" si="10"/>
        <v>rokwzgl=8 i lp=480</v>
      </c>
      <c r="N55" s="27" t="str">
        <f t="shared" si="11"/>
        <v>rokwzgl=9 i lp=480</v>
      </c>
      <c r="O55" s="27" t="str">
        <f t="shared" si="11"/>
        <v>rokwzgl=10 i lp=480</v>
      </c>
      <c r="P55" s="27" t="str">
        <f t="shared" si="11"/>
        <v>rokwzgl=11 i lp=480</v>
      </c>
      <c r="Q55" s="27" t="str">
        <f t="shared" si="11"/>
        <v>rokwzgl=12 i lp=480</v>
      </c>
      <c r="R55" s="27" t="str">
        <f t="shared" si="11"/>
        <v>rokwzgl=13 i lp=480</v>
      </c>
      <c r="S55" s="27" t="str">
        <f t="shared" si="11"/>
        <v>rokwzgl=14 i lp=480</v>
      </c>
      <c r="T55" s="27" t="str">
        <f t="shared" si="11"/>
        <v>rokwzgl=15 i lp=480</v>
      </c>
      <c r="U55" s="27" t="str">
        <f t="shared" si="11"/>
        <v>rokwzgl=16 i lp=480</v>
      </c>
      <c r="V55" s="27" t="str">
        <f t="shared" si="11"/>
        <v>rokwzgl=17 i lp=480</v>
      </c>
      <c r="W55" s="27" t="str">
        <f t="shared" si="11"/>
        <v>rokwzgl=18 i lp=480</v>
      </c>
      <c r="X55" s="27" t="str">
        <f t="shared" si="12"/>
        <v>rokwzgl=19 i lp=480</v>
      </c>
      <c r="Y55" s="27" t="str">
        <f t="shared" si="12"/>
        <v>rokwzgl=20 i lp=480</v>
      </c>
      <c r="Z55" s="27" t="str">
        <f t="shared" si="12"/>
        <v>rokwzgl=21 i lp=480</v>
      </c>
      <c r="AA55" s="27" t="str">
        <f t="shared" si="12"/>
        <v>rokwzgl=22 i lp=480</v>
      </c>
      <c r="AB55" s="27" t="str">
        <f t="shared" si="12"/>
        <v>rokwzgl=23 i lp=480</v>
      </c>
      <c r="AC55" s="27" t="str">
        <f t="shared" si="12"/>
        <v>rokwzgl=24 i lp=480</v>
      </c>
      <c r="AD55" s="27" t="str">
        <f t="shared" si="12"/>
        <v>rokwzgl=25 i lp=480</v>
      </c>
      <c r="AE55" s="27" t="str">
        <f t="shared" si="12"/>
        <v>rokwzgl=26 i lp=480</v>
      </c>
      <c r="AF55" s="27" t="str">
        <f t="shared" si="12"/>
        <v>rokwzgl=27 i lp=480</v>
      </c>
      <c r="AG55" s="27" t="str">
        <f t="shared" si="12"/>
        <v>rokwzgl=28 i lp=480</v>
      </c>
      <c r="AH55" s="27" t="str">
        <f t="shared" si="12"/>
        <v>rokwzgl=29 i lp=480</v>
      </c>
    </row>
    <row r="56" spans="1:34">
      <c r="A56" s="26">
        <v>490</v>
      </c>
      <c r="B56" s="26" t="s">
        <v>152</v>
      </c>
      <c r="C56" s="27" t="s">
        <v>389</v>
      </c>
      <c r="D56" s="27" t="str">
        <f t="shared" ref="D56:M65" si="13">+"rokwzgl="&amp;D$9&amp;" i lp="&amp;$A56</f>
        <v>rokwzgl=0 i lp=490</v>
      </c>
      <c r="E56" s="27" t="str">
        <f t="shared" si="13"/>
        <v>rokwzgl=0 i lp=490</v>
      </c>
      <c r="F56" s="27" t="str">
        <f t="shared" si="13"/>
        <v>rokwzgl=1 i lp=490</v>
      </c>
      <c r="G56" s="27" t="str">
        <f t="shared" si="13"/>
        <v>rokwzgl=2 i lp=490</v>
      </c>
      <c r="H56" s="27" t="str">
        <f t="shared" si="13"/>
        <v>rokwzgl=3 i lp=490</v>
      </c>
      <c r="I56" s="27" t="str">
        <f t="shared" si="13"/>
        <v>rokwzgl=4 i lp=490</v>
      </c>
      <c r="J56" s="27" t="str">
        <f t="shared" si="13"/>
        <v>rokwzgl=5 i lp=490</v>
      </c>
      <c r="K56" s="27" t="str">
        <f t="shared" si="13"/>
        <v>rokwzgl=6 i lp=490</v>
      </c>
      <c r="L56" s="27" t="str">
        <f t="shared" si="13"/>
        <v>rokwzgl=7 i lp=490</v>
      </c>
      <c r="M56" s="27" t="str">
        <f t="shared" si="13"/>
        <v>rokwzgl=8 i lp=490</v>
      </c>
      <c r="N56" s="27" t="str">
        <f t="shared" ref="N56:W65" si="14">+"rokwzgl="&amp;N$9&amp;" i lp="&amp;$A56</f>
        <v>rokwzgl=9 i lp=490</v>
      </c>
      <c r="O56" s="27" t="str">
        <f t="shared" si="14"/>
        <v>rokwzgl=10 i lp=490</v>
      </c>
      <c r="P56" s="27" t="str">
        <f t="shared" si="14"/>
        <v>rokwzgl=11 i lp=490</v>
      </c>
      <c r="Q56" s="27" t="str">
        <f t="shared" si="14"/>
        <v>rokwzgl=12 i lp=490</v>
      </c>
      <c r="R56" s="27" t="str">
        <f t="shared" si="14"/>
        <v>rokwzgl=13 i lp=490</v>
      </c>
      <c r="S56" s="27" t="str">
        <f t="shared" si="14"/>
        <v>rokwzgl=14 i lp=490</v>
      </c>
      <c r="T56" s="27" t="str">
        <f t="shared" si="14"/>
        <v>rokwzgl=15 i lp=490</v>
      </c>
      <c r="U56" s="27" t="str">
        <f t="shared" si="14"/>
        <v>rokwzgl=16 i lp=490</v>
      </c>
      <c r="V56" s="27" t="str">
        <f t="shared" si="14"/>
        <v>rokwzgl=17 i lp=490</v>
      </c>
      <c r="W56" s="27" t="str">
        <f t="shared" si="14"/>
        <v>rokwzgl=18 i lp=490</v>
      </c>
      <c r="X56" s="27" t="str">
        <f t="shared" ref="X56:AH65" si="15">+"rokwzgl="&amp;X$9&amp;" i lp="&amp;$A56</f>
        <v>rokwzgl=19 i lp=490</v>
      </c>
      <c r="Y56" s="27" t="str">
        <f t="shared" si="15"/>
        <v>rokwzgl=20 i lp=490</v>
      </c>
      <c r="Z56" s="27" t="str">
        <f t="shared" si="15"/>
        <v>rokwzgl=21 i lp=490</v>
      </c>
      <c r="AA56" s="27" t="str">
        <f t="shared" si="15"/>
        <v>rokwzgl=22 i lp=490</v>
      </c>
      <c r="AB56" s="27" t="str">
        <f t="shared" si="15"/>
        <v>rokwzgl=23 i lp=490</v>
      </c>
      <c r="AC56" s="27" t="str">
        <f t="shared" si="15"/>
        <v>rokwzgl=24 i lp=490</v>
      </c>
      <c r="AD56" s="27" t="str">
        <f t="shared" si="15"/>
        <v>rokwzgl=25 i lp=490</v>
      </c>
      <c r="AE56" s="27" t="str">
        <f t="shared" si="15"/>
        <v>rokwzgl=26 i lp=490</v>
      </c>
      <c r="AF56" s="27" t="str">
        <f t="shared" si="15"/>
        <v>rokwzgl=27 i lp=490</v>
      </c>
      <c r="AG56" s="27" t="str">
        <f t="shared" si="15"/>
        <v>rokwzgl=28 i lp=490</v>
      </c>
      <c r="AH56" s="27" t="str">
        <f t="shared" si="15"/>
        <v>rokwzgl=29 i lp=490</v>
      </c>
    </row>
    <row r="57" spans="1:34">
      <c r="A57" s="26">
        <v>500</v>
      </c>
      <c r="B57" s="26" t="s">
        <v>153</v>
      </c>
      <c r="C57" s="27" t="s">
        <v>391</v>
      </c>
      <c r="D57" s="27" t="str">
        <f t="shared" si="13"/>
        <v>rokwzgl=0 i lp=500</v>
      </c>
      <c r="E57" s="27" t="str">
        <f t="shared" si="13"/>
        <v>rokwzgl=0 i lp=500</v>
      </c>
      <c r="F57" s="27" t="str">
        <f t="shared" si="13"/>
        <v>rokwzgl=1 i lp=500</v>
      </c>
      <c r="G57" s="27" t="str">
        <f t="shared" si="13"/>
        <v>rokwzgl=2 i lp=500</v>
      </c>
      <c r="H57" s="27" t="str">
        <f t="shared" si="13"/>
        <v>rokwzgl=3 i lp=500</v>
      </c>
      <c r="I57" s="27" t="str">
        <f t="shared" si="13"/>
        <v>rokwzgl=4 i lp=500</v>
      </c>
      <c r="J57" s="27" t="str">
        <f t="shared" si="13"/>
        <v>rokwzgl=5 i lp=500</v>
      </c>
      <c r="K57" s="27" t="str">
        <f t="shared" si="13"/>
        <v>rokwzgl=6 i lp=500</v>
      </c>
      <c r="L57" s="27" t="str">
        <f t="shared" si="13"/>
        <v>rokwzgl=7 i lp=500</v>
      </c>
      <c r="M57" s="27" t="str">
        <f t="shared" si="13"/>
        <v>rokwzgl=8 i lp=500</v>
      </c>
      <c r="N57" s="27" t="str">
        <f t="shared" si="14"/>
        <v>rokwzgl=9 i lp=500</v>
      </c>
      <c r="O57" s="27" t="str">
        <f t="shared" si="14"/>
        <v>rokwzgl=10 i lp=500</v>
      </c>
      <c r="P57" s="27" t="str">
        <f t="shared" si="14"/>
        <v>rokwzgl=11 i lp=500</v>
      </c>
      <c r="Q57" s="27" t="str">
        <f t="shared" si="14"/>
        <v>rokwzgl=12 i lp=500</v>
      </c>
      <c r="R57" s="27" t="str">
        <f t="shared" si="14"/>
        <v>rokwzgl=13 i lp=500</v>
      </c>
      <c r="S57" s="27" t="str">
        <f t="shared" si="14"/>
        <v>rokwzgl=14 i lp=500</v>
      </c>
      <c r="T57" s="27" t="str">
        <f t="shared" si="14"/>
        <v>rokwzgl=15 i lp=500</v>
      </c>
      <c r="U57" s="27" t="str">
        <f t="shared" si="14"/>
        <v>rokwzgl=16 i lp=500</v>
      </c>
      <c r="V57" s="27" t="str">
        <f t="shared" si="14"/>
        <v>rokwzgl=17 i lp=500</v>
      </c>
      <c r="W57" s="27" t="str">
        <f t="shared" si="14"/>
        <v>rokwzgl=18 i lp=500</v>
      </c>
      <c r="X57" s="27" t="str">
        <f t="shared" si="15"/>
        <v>rokwzgl=19 i lp=500</v>
      </c>
      <c r="Y57" s="27" t="str">
        <f t="shared" si="15"/>
        <v>rokwzgl=20 i lp=500</v>
      </c>
      <c r="Z57" s="27" t="str">
        <f t="shared" si="15"/>
        <v>rokwzgl=21 i lp=500</v>
      </c>
      <c r="AA57" s="27" t="str">
        <f t="shared" si="15"/>
        <v>rokwzgl=22 i lp=500</v>
      </c>
      <c r="AB57" s="27" t="str">
        <f t="shared" si="15"/>
        <v>rokwzgl=23 i lp=500</v>
      </c>
      <c r="AC57" s="27" t="str">
        <f t="shared" si="15"/>
        <v>rokwzgl=24 i lp=500</v>
      </c>
      <c r="AD57" s="27" t="str">
        <f t="shared" si="15"/>
        <v>rokwzgl=25 i lp=500</v>
      </c>
      <c r="AE57" s="27" t="str">
        <f t="shared" si="15"/>
        <v>rokwzgl=26 i lp=500</v>
      </c>
      <c r="AF57" s="27" t="str">
        <f t="shared" si="15"/>
        <v>rokwzgl=27 i lp=500</v>
      </c>
      <c r="AG57" s="27" t="str">
        <f t="shared" si="15"/>
        <v>rokwzgl=28 i lp=500</v>
      </c>
      <c r="AH57" s="27" t="str">
        <f t="shared" si="15"/>
        <v>rokwzgl=29 i lp=500</v>
      </c>
    </row>
    <row r="58" spans="1:34">
      <c r="A58" s="26">
        <v>508</v>
      </c>
      <c r="B58" s="26" t="s">
        <v>154</v>
      </c>
      <c r="C58" s="27" t="s">
        <v>393</v>
      </c>
      <c r="D58" s="27" t="str">
        <f t="shared" si="13"/>
        <v>rokwzgl=0 i lp=508</v>
      </c>
      <c r="E58" s="27" t="str">
        <f t="shared" si="13"/>
        <v>rokwzgl=0 i lp=508</v>
      </c>
      <c r="F58" s="27" t="str">
        <f t="shared" si="13"/>
        <v>rokwzgl=1 i lp=508</v>
      </c>
      <c r="G58" s="27" t="str">
        <f t="shared" si="13"/>
        <v>rokwzgl=2 i lp=508</v>
      </c>
      <c r="H58" s="27" t="str">
        <f t="shared" si="13"/>
        <v>rokwzgl=3 i lp=508</v>
      </c>
      <c r="I58" s="27" t="str">
        <f t="shared" si="13"/>
        <v>rokwzgl=4 i lp=508</v>
      </c>
      <c r="J58" s="27" t="str">
        <f t="shared" si="13"/>
        <v>rokwzgl=5 i lp=508</v>
      </c>
      <c r="K58" s="27" t="str">
        <f t="shared" si="13"/>
        <v>rokwzgl=6 i lp=508</v>
      </c>
      <c r="L58" s="27" t="str">
        <f t="shared" si="13"/>
        <v>rokwzgl=7 i lp=508</v>
      </c>
      <c r="M58" s="27" t="str">
        <f t="shared" si="13"/>
        <v>rokwzgl=8 i lp=508</v>
      </c>
      <c r="N58" s="27" t="str">
        <f t="shared" si="14"/>
        <v>rokwzgl=9 i lp=508</v>
      </c>
      <c r="O58" s="27" t="str">
        <f t="shared" si="14"/>
        <v>rokwzgl=10 i lp=508</v>
      </c>
      <c r="P58" s="27" t="str">
        <f t="shared" si="14"/>
        <v>rokwzgl=11 i lp=508</v>
      </c>
      <c r="Q58" s="27" t="str">
        <f t="shared" si="14"/>
        <v>rokwzgl=12 i lp=508</v>
      </c>
      <c r="R58" s="27" t="str">
        <f t="shared" si="14"/>
        <v>rokwzgl=13 i lp=508</v>
      </c>
      <c r="S58" s="27" t="str">
        <f t="shared" si="14"/>
        <v>rokwzgl=14 i lp=508</v>
      </c>
      <c r="T58" s="27" t="str">
        <f t="shared" si="14"/>
        <v>rokwzgl=15 i lp=508</v>
      </c>
      <c r="U58" s="27" t="str">
        <f t="shared" si="14"/>
        <v>rokwzgl=16 i lp=508</v>
      </c>
      <c r="V58" s="27" t="str">
        <f t="shared" si="14"/>
        <v>rokwzgl=17 i lp=508</v>
      </c>
      <c r="W58" s="27" t="str">
        <f t="shared" si="14"/>
        <v>rokwzgl=18 i lp=508</v>
      </c>
      <c r="X58" s="27" t="str">
        <f t="shared" si="15"/>
        <v>rokwzgl=19 i lp=508</v>
      </c>
      <c r="Y58" s="27" t="str">
        <f t="shared" si="15"/>
        <v>rokwzgl=20 i lp=508</v>
      </c>
      <c r="Z58" s="27" t="str">
        <f t="shared" si="15"/>
        <v>rokwzgl=21 i lp=508</v>
      </c>
      <c r="AA58" s="27" t="str">
        <f t="shared" si="15"/>
        <v>rokwzgl=22 i lp=508</v>
      </c>
      <c r="AB58" s="27" t="str">
        <f t="shared" si="15"/>
        <v>rokwzgl=23 i lp=508</v>
      </c>
      <c r="AC58" s="27" t="str">
        <f t="shared" si="15"/>
        <v>rokwzgl=24 i lp=508</v>
      </c>
      <c r="AD58" s="27" t="str">
        <f t="shared" si="15"/>
        <v>rokwzgl=25 i lp=508</v>
      </c>
      <c r="AE58" s="27" t="str">
        <f t="shared" si="15"/>
        <v>rokwzgl=26 i lp=508</v>
      </c>
      <c r="AF58" s="27" t="str">
        <f t="shared" si="15"/>
        <v>rokwzgl=27 i lp=508</v>
      </c>
      <c r="AG58" s="27" t="str">
        <f t="shared" si="15"/>
        <v>rokwzgl=28 i lp=508</v>
      </c>
      <c r="AH58" s="27" t="str">
        <f t="shared" si="15"/>
        <v>rokwzgl=29 i lp=508</v>
      </c>
    </row>
    <row r="59" spans="1:34">
      <c r="A59" s="26">
        <v>510</v>
      </c>
      <c r="B59" s="26" t="s">
        <v>155</v>
      </c>
      <c r="C59" s="27" t="s">
        <v>395</v>
      </c>
      <c r="D59" s="27" t="str">
        <f t="shared" si="13"/>
        <v>rokwzgl=0 i lp=510</v>
      </c>
      <c r="E59" s="27" t="str">
        <f t="shared" si="13"/>
        <v>rokwzgl=0 i lp=510</v>
      </c>
      <c r="F59" s="27" t="str">
        <f t="shared" si="13"/>
        <v>rokwzgl=1 i lp=510</v>
      </c>
      <c r="G59" s="27" t="str">
        <f t="shared" si="13"/>
        <v>rokwzgl=2 i lp=510</v>
      </c>
      <c r="H59" s="27" t="str">
        <f t="shared" si="13"/>
        <v>rokwzgl=3 i lp=510</v>
      </c>
      <c r="I59" s="27" t="str">
        <f t="shared" si="13"/>
        <v>rokwzgl=4 i lp=510</v>
      </c>
      <c r="J59" s="27" t="str">
        <f t="shared" si="13"/>
        <v>rokwzgl=5 i lp=510</v>
      </c>
      <c r="K59" s="27" t="str">
        <f t="shared" si="13"/>
        <v>rokwzgl=6 i lp=510</v>
      </c>
      <c r="L59" s="27" t="str">
        <f t="shared" si="13"/>
        <v>rokwzgl=7 i lp=510</v>
      </c>
      <c r="M59" s="27" t="str">
        <f t="shared" si="13"/>
        <v>rokwzgl=8 i lp=510</v>
      </c>
      <c r="N59" s="27" t="str">
        <f t="shared" si="14"/>
        <v>rokwzgl=9 i lp=510</v>
      </c>
      <c r="O59" s="27" t="str">
        <f t="shared" si="14"/>
        <v>rokwzgl=10 i lp=510</v>
      </c>
      <c r="P59" s="27" t="str">
        <f t="shared" si="14"/>
        <v>rokwzgl=11 i lp=510</v>
      </c>
      <c r="Q59" s="27" t="str">
        <f t="shared" si="14"/>
        <v>rokwzgl=12 i lp=510</v>
      </c>
      <c r="R59" s="27" t="str">
        <f t="shared" si="14"/>
        <v>rokwzgl=13 i lp=510</v>
      </c>
      <c r="S59" s="27" t="str">
        <f t="shared" si="14"/>
        <v>rokwzgl=14 i lp=510</v>
      </c>
      <c r="T59" s="27" t="str">
        <f t="shared" si="14"/>
        <v>rokwzgl=15 i lp=510</v>
      </c>
      <c r="U59" s="27" t="str">
        <f t="shared" si="14"/>
        <v>rokwzgl=16 i lp=510</v>
      </c>
      <c r="V59" s="27" t="str">
        <f t="shared" si="14"/>
        <v>rokwzgl=17 i lp=510</v>
      </c>
      <c r="W59" s="27" t="str">
        <f t="shared" si="14"/>
        <v>rokwzgl=18 i lp=510</v>
      </c>
      <c r="X59" s="27" t="str">
        <f t="shared" si="15"/>
        <v>rokwzgl=19 i lp=510</v>
      </c>
      <c r="Y59" s="27" t="str">
        <f t="shared" si="15"/>
        <v>rokwzgl=20 i lp=510</v>
      </c>
      <c r="Z59" s="27" t="str">
        <f t="shared" si="15"/>
        <v>rokwzgl=21 i lp=510</v>
      </c>
      <c r="AA59" s="27" t="str">
        <f t="shared" si="15"/>
        <v>rokwzgl=22 i lp=510</v>
      </c>
      <c r="AB59" s="27" t="str">
        <f t="shared" si="15"/>
        <v>rokwzgl=23 i lp=510</v>
      </c>
      <c r="AC59" s="27" t="str">
        <f t="shared" si="15"/>
        <v>rokwzgl=24 i lp=510</v>
      </c>
      <c r="AD59" s="27" t="str">
        <f t="shared" si="15"/>
        <v>rokwzgl=25 i lp=510</v>
      </c>
      <c r="AE59" s="27" t="str">
        <f t="shared" si="15"/>
        <v>rokwzgl=26 i lp=510</v>
      </c>
      <c r="AF59" s="27" t="str">
        <f t="shared" si="15"/>
        <v>rokwzgl=27 i lp=510</v>
      </c>
      <c r="AG59" s="27" t="str">
        <f t="shared" si="15"/>
        <v>rokwzgl=28 i lp=510</v>
      </c>
      <c r="AH59" s="27" t="str">
        <f t="shared" si="15"/>
        <v>rokwzgl=29 i lp=510</v>
      </c>
    </row>
    <row r="60" spans="1:34">
      <c r="A60" s="26">
        <v>520</v>
      </c>
      <c r="B60" s="26" t="s">
        <v>83</v>
      </c>
      <c r="C60" s="27" t="s">
        <v>396</v>
      </c>
      <c r="D60" s="27" t="str">
        <f t="shared" si="13"/>
        <v>rokwzgl=0 i lp=520</v>
      </c>
      <c r="E60" s="27" t="str">
        <f t="shared" si="13"/>
        <v>rokwzgl=0 i lp=520</v>
      </c>
      <c r="F60" s="27" t="str">
        <f t="shared" si="13"/>
        <v>rokwzgl=1 i lp=520</v>
      </c>
      <c r="G60" s="27" t="str">
        <f t="shared" si="13"/>
        <v>rokwzgl=2 i lp=520</v>
      </c>
      <c r="H60" s="27" t="str">
        <f t="shared" si="13"/>
        <v>rokwzgl=3 i lp=520</v>
      </c>
      <c r="I60" s="27" t="str">
        <f t="shared" si="13"/>
        <v>rokwzgl=4 i lp=520</v>
      </c>
      <c r="J60" s="27" t="str">
        <f t="shared" si="13"/>
        <v>rokwzgl=5 i lp=520</v>
      </c>
      <c r="K60" s="27" t="str">
        <f t="shared" si="13"/>
        <v>rokwzgl=6 i lp=520</v>
      </c>
      <c r="L60" s="27" t="str">
        <f t="shared" si="13"/>
        <v>rokwzgl=7 i lp=520</v>
      </c>
      <c r="M60" s="27" t="str">
        <f t="shared" si="13"/>
        <v>rokwzgl=8 i lp=520</v>
      </c>
      <c r="N60" s="27" t="str">
        <f t="shared" si="14"/>
        <v>rokwzgl=9 i lp=520</v>
      </c>
      <c r="O60" s="27" t="str">
        <f t="shared" si="14"/>
        <v>rokwzgl=10 i lp=520</v>
      </c>
      <c r="P60" s="27" t="str">
        <f t="shared" si="14"/>
        <v>rokwzgl=11 i lp=520</v>
      </c>
      <c r="Q60" s="27" t="str">
        <f t="shared" si="14"/>
        <v>rokwzgl=12 i lp=520</v>
      </c>
      <c r="R60" s="27" t="str">
        <f t="shared" si="14"/>
        <v>rokwzgl=13 i lp=520</v>
      </c>
      <c r="S60" s="27" t="str">
        <f t="shared" si="14"/>
        <v>rokwzgl=14 i lp=520</v>
      </c>
      <c r="T60" s="27" t="str">
        <f t="shared" si="14"/>
        <v>rokwzgl=15 i lp=520</v>
      </c>
      <c r="U60" s="27" t="str">
        <f t="shared" si="14"/>
        <v>rokwzgl=16 i lp=520</v>
      </c>
      <c r="V60" s="27" t="str">
        <f t="shared" si="14"/>
        <v>rokwzgl=17 i lp=520</v>
      </c>
      <c r="W60" s="27" t="str">
        <f t="shared" si="14"/>
        <v>rokwzgl=18 i lp=520</v>
      </c>
      <c r="X60" s="27" t="str">
        <f t="shared" si="15"/>
        <v>rokwzgl=19 i lp=520</v>
      </c>
      <c r="Y60" s="27" t="str">
        <f t="shared" si="15"/>
        <v>rokwzgl=20 i lp=520</v>
      </c>
      <c r="Z60" s="27" t="str">
        <f t="shared" si="15"/>
        <v>rokwzgl=21 i lp=520</v>
      </c>
      <c r="AA60" s="27" t="str">
        <f t="shared" si="15"/>
        <v>rokwzgl=22 i lp=520</v>
      </c>
      <c r="AB60" s="27" t="str">
        <f t="shared" si="15"/>
        <v>rokwzgl=23 i lp=520</v>
      </c>
      <c r="AC60" s="27" t="str">
        <f t="shared" si="15"/>
        <v>rokwzgl=24 i lp=520</v>
      </c>
      <c r="AD60" s="27" t="str">
        <f t="shared" si="15"/>
        <v>rokwzgl=25 i lp=520</v>
      </c>
      <c r="AE60" s="27" t="str">
        <f t="shared" si="15"/>
        <v>rokwzgl=26 i lp=520</v>
      </c>
      <c r="AF60" s="27" t="str">
        <f t="shared" si="15"/>
        <v>rokwzgl=27 i lp=520</v>
      </c>
      <c r="AG60" s="27" t="str">
        <f t="shared" si="15"/>
        <v>rokwzgl=28 i lp=520</v>
      </c>
      <c r="AH60" s="27" t="str">
        <f t="shared" si="15"/>
        <v>rokwzgl=29 i lp=520</v>
      </c>
    </row>
    <row r="61" spans="1:34">
      <c r="A61" s="26">
        <v>530</v>
      </c>
      <c r="B61" s="26" t="s">
        <v>156</v>
      </c>
      <c r="C61" s="27" t="s">
        <v>398</v>
      </c>
      <c r="D61" s="27" t="str">
        <f t="shared" si="13"/>
        <v>rokwzgl=0 i lp=530</v>
      </c>
      <c r="E61" s="27" t="str">
        <f t="shared" si="13"/>
        <v>rokwzgl=0 i lp=530</v>
      </c>
      <c r="F61" s="27" t="str">
        <f t="shared" si="13"/>
        <v>rokwzgl=1 i lp=530</v>
      </c>
      <c r="G61" s="27" t="str">
        <f t="shared" si="13"/>
        <v>rokwzgl=2 i lp=530</v>
      </c>
      <c r="H61" s="27" t="str">
        <f t="shared" si="13"/>
        <v>rokwzgl=3 i lp=530</v>
      </c>
      <c r="I61" s="27" t="str">
        <f t="shared" si="13"/>
        <v>rokwzgl=4 i lp=530</v>
      </c>
      <c r="J61" s="27" t="str">
        <f t="shared" si="13"/>
        <v>rokwzgl=5 i lp=530</v>
      </c>
      <c r="K61" s="27" t="str">
        <f t="shared" si="13"/>
        <v>rokwzgl=6 i lp=530</v>
      </c>
      <c r="L61" s="27" t="str">
        <f t="shared" si="13"/>
        <v>rokwzgl=7 i lp=530</v>
      </c>
      <c r="M61" s="27" t="str">
        <f t="shared" si="13"/>
        <v>rokwzgl=8 i lp=530</v>
      </c>
      <c r="N61" s="27" t="str">
        <f t="shared" si="14"/>
        <v>rokwzgl=9 i lp=530</v>
      </c>
      <c r="O61" s="27" t="str">
        <f t="shared" si="14"/>
        <v>rokwzgl=10 i lp=530</v>
      </c>
      <c r="P61" s="27" t="str">
        <f t="shared" si="14"/>
        <v>rokwzgl=11 i lp=530</v>
      </c>
      <c r="Q61" s="27" t="str">
        <f t="shared" si="14"/>
        <v>rokwzgl=12 i lp=530</v>
      </c>
      <c r="R61" s="27" t="str">
        <f t="shared" si="14"/>
        <v>rokwzgl=13 i lp=530</v>
      </c>
      <c r="S61" s="27" t="str">
        <f t="shared" si="14"/>
        <v>rokwzgl=14 i lp=530</v>
      </c>
      <c r="T61" s="27" t="str">
        <f t="shared" si="14"/>
        <v>rokwzgl=15 i lp=530</v>
      </c>
      <c r="U61" s="27" t="str">
        <f t="shared" si="14"/>
        <v>rokwzgl=16 i lp=530</v>
      </c>
      <c r="V61" s="27" t="str">
        <f t="shared" si="14"/>
        <v>rokwzgl=17 i lp=530</v>
      </c>
      <c r="W61" s="27" t="str">
        <f t="shared" si="14"/>
        <v>rokwzgl=18 i lp=530</v>
      </c>
      <c r="X61" s="27" t="str">
        <f t="shared" si="15"/>
        <v>rokwzgl=19 i lp=530</v>
      </c>
      <c r="Y61" s="27" t="str">
        <f t="shared" si="15"/>
        <v>rokwzgl=20 i lp=530</v>
      </c>
      <c r="Z61" s="27" t="str">
        <f t="shared" si="15"/>
        <v>rokwzgl=21 i lp=530</v>
      </c>
      <c r="AA61" s="27" t="str">
        <f t="shared" si="15"/>
        <v>rokwzgl=22 i lp=530</v>
      </c>
      <c r="AB61" s="27" t="str">
        <f t="shared" si="15"/>
        <v>rokwzgl=23 i lp=530</v>
      </c>
      <c r="AC61" s="27" t="str">
        <f t="shared" si="15"/>
        <v>rokwzgl=24 i lp=530</v>
      </c>
      <c r="AD61" s="27" t="str">
        <f t="shared" si="15"/>
        <v>rokwzgl=25 i lp=530</v>
      </c>
      <c r="AE61" s="27" t="str">
        <f t="shared" si="15"/>
        <v>rokwzgl=26 i lp=530</v>
      </c>
      <c r="AF61" s="27" t="str">
        <f t="shared" si="15"/>
        <v>rokwzgl=27 i lp=530</v>
      </c>
      <c r="AG61" s="27" t="str">
        <f t="shared" si="15"/>
        <v>rokwzgl=28 i lp=530</v>
      </c>
      <c r="AH61" s="27" t="str">
        <f t="shared" si="15"/>
        <v>rokwzgl=29 i lp=530</v>
      </c>
    </row>
    <row r="62" spans="1:34">
      <c r="A62" s="26">
        <v>540</v>
      </c>
      <c r="B62" s="26" t="s">
        <v>84</v>
      </c>
      <c r="C62" s="27" t="s">
        <v>400</v>
      </c>
      <c r="D62" s="27" t="str">
        <f t="shared" si="13"/>
        <v>rokwzgl=0 i lp=540</v>
      </c>
      <c r="E62" s="27" t="str">
        <f t="shared" si="13"/>
        <v>rokwzgl=0 i lp=540</v>
      </c>
      <c r="F62" s="27" t="str">
        <f t="shared" si="13"/>
        <v>rokwzgl=1 i lp=540</v>
      </c>
      <c r="G62" s="27" t="str">
        <f t="shared" si="13"/>
        <v>rokwzgl=2 i lp=540</v>
      </c>
      <c r="H62" s="27" t="str">
        <f t="shared" si="13"/>
        <v>rokwzgl=3 i lp=540</v>
      </c>
      <c r="I62" s="27" t="str">
        <f t="shared" si="13"/>
        <v>rokwzgl=4 i lp=540</v>
      </c>
      <c r="J62" s="27" t="str">
        <f t="shared" si="13"/>
        <v>rokwzgl=5 i lp=540</v>
      </c>
      <c r="K62" s="27" t="str">
        <f t="shared" si="13"/>
        <v>rokwzgl=6 i lp=540</v>
      </c>
      <c r="L62" s="27" t="str">
        <f t="shared" si="13"/>
        <v>rokwzgl=7 i lp=540</v>
      </c>
      <c r="M62" s="27" t="str">
        <f t="shared" si="13"/>
        <v>rokwzgl=8 i lp=540</v>
      </c>
      <c r="N62" s="27" t="str">
        <f t="shared" si="14"/>
        <v>rokwzgl=9 i lp=540</v>
      </c>
      <c r="O62" s="27" t="str">
        <f t="shared" si="14"/>
        <v>rokwzgl=10 i lp=540</v>
      </c>
      <c r="P62" s="27" t="str">
        <f t="shared" si="14"/>
        <v>rokwzgl=11 i lp=540</v>
      </c>
      <c r="Q62" s="27" t="str">
        <f t="shared" si="14"/>
        <v>rokwzgl=12 i lp=540</v>
      </c>
      <c r="R62" s="27" t="str">
        <f t="shared" si="14"/>
        <v>rokwzgl=13 i lp=540</v>
      </c>
      <c r="S62" s="27" t="str">
        <f t="shared" si="14"/>
        <v>rokwzgl=14 i lp=540</v>
      </c>
      <c r="T62" s="27" t="str">
        <f t="shared" si="14"/>
        <v>rokwzgl=15 i lp=540</v>
      </c>
      <c r="U62" s="27" t="str">
        <f t="shared" si="14"/>
        <v>rokwzgl=16 i lp=540</v>
      </c>
      <c r="V62" s="27" t="str">
        <f t="shared" si="14"/>
        <v>rokwzgl=17 i lp=540</v>
      </c>
      <c r="W62" s="27" t="str">
        <f t="shared" si="14"/>
        <v>rokwzgl=18 i lp=540</v>
      </c>
      <c r="X62" s="27" t="str">
        <f t="shared" si="15"/>
        <v>rokwzgl=19 i lp=540</v>
      </c>
      <c r="Y62" s="27" t="str">
        <f t="shared" si="15"/>
        <v>rokwzgl=20 i lp=540</v>
      </c>
      <c r="Z62" s="27" t="str">
        <f t="shared" si="15"/>
        <v>rokwzgl=21 i lp=540</v>
      </c>
      <c r="AA62" s="27" t="str">
        <f t="shared" si="15"/>
        <v>rokwzgl=22 i lp=540</v>
      </c>
      <c r="AB62" s="27" t="str">
        <f t="shared" si="15"/>
        <v>rokwzgl=23 i lp=540</v>
      </c>
      <c r="AC62" s="27" t="str">
        <f t="shared" si="15"/>
        <v>rokwzgl=24 i lp=540</v>
      </c>
      <c r="AD62" s="27" t="str">
        <f t="shared" si="15"/>
        <v>rokwzgl=25 i lp=540</v>
      </c>
      <c r="AE62" s="27" t="str">
        <f t="shared" si="15"/>
        <v>rokwzgl=26 i lp=540</v>
      </c>
      <c r="AF62" s="27" t="str">
        <f t="shared" si="15"/>
        <v>rokwzgl=27 i lp=540</v>
      </c>
      <c r="AG62" s="27" t="str">
        <f t="shared" si="15"/>
        <v>rokwzgl=28 i lp=540</v>
      </c>
      <c r="AH62" s="27" t="str">
        <f t="shared" si="15"/>
        <v>rokwzgl=29 i lp=540</v>
      </c>
    </row>
    <row r="63" spans="1:34">
      <c r="A63" s="26">
        <v>550</v>
      </c>
      <c r="B63" s="26">
        <v>10</v>
      </c>
      <c r="C63" s="27" t="s">
        <v>85</v>
      </c>
      <c r="D63" s="27" t="str">
        <f t="shared" si="13"/>
        <v>rokwzgl=0 i lp=550</v>
      </c>
      <c r="E63" s="27" t="str">
        <f t="shared" si="13"/>
        <v>rokwzgl=0 i lp=550</v>
      </c>
      <c r="F63" s="27" t="str">
        <f t="shared" si="13"/>
        <v>rokwzgl=1 i lp=550</v>
      </c>
      <c r="G63" s="27" t="str">
        <f t="shared" si="13"/>
        <v>rokwzgl=2 i lp=550</v>
      </c>
      <c r="H63" s="27" t="str">
        <f t="shared" si="13"/>
        <v>rokwzgl=3 i lp=550</v>
      </c>
      <c r="I63" s="27" t="str">
        <f t="shared" si="13"/>
        <v>rokwzgl=4 i lp=550</v>
      </c>
      <c r="J63" s="27" t="str">
        <f t="shared" si="13"/>
        <v>rokwzgl=5 i lp=550</v>
      </c>
      <c r="K63" s="27" t="str">
        <f t="shared" si="13"/>
        <v>rokwzgl=6 i lp=550</v>
      </c>
      <c r="L63" s="27" t="str">
        <f t="shared" si="13"/>
        <v>rokwzgl=7 i lp=550</v>
      </c>
      <c r="M63" s="27" t="str">
        <f t="shared" si="13"/>
        <v>rokwzgl=8 i lp=550</v>
      </c>
      <c r="N63" s="27" t="str">
        <f t="shared" si="14"/>
        <v>rokwzgl=9 i lp=550</v>
      </c>
      <c r="O63" s="27" t="str">
        <f t="shared" si="14"/>
        <v>rokwzgl=10 i lp=550</v>
      </c>
      <c r="P63" s="27" t="str">
        <f t="shared" si="14"/>
        <v>rokwzgl=11 i lp=550</v>
      </c>
      <c r="Q63" s="27" t="str">
        <f t="shared" si="14"/>
        <v>rokwzgl=12 i lp=550</v>
      </c>
      <c r="R63" s="27" t="str">
        <f t="shared" si="14"/>
        <v>rokwzgl=13 i lp=550</v>
      </c>
      <c r="S63" s="27" t="str">
        <f t="shared" si="14"/>
        <v>rokwzgl=14 i lp=550</v>
      </c>
      <c r="T63" s="27" t="str">
        <f t="shared" si="14"/>
        <v>rokwzgl=15 i lp=550</v>
      </c>
      <c r="U63" s="27" t="str">
        <f t="shared" si="14"/>
        <v>rokwzgl=16 i lp=550</v>
      </c>
      <c r="V63" s="27" t="str">
        <f t="shared" si="14"/>
        <v>rokwzgl=17 i lp=550</v>
      </c>
      <c r="W63" s="27" t="str">
        <f t="shared" si="14"/>
        <v>rokwzgl=18 i lp=550</v>
      </c>
      <c r="X63" s="27" t="str">
        <f t="shared" si="15"/>
        <v>rokwzgl=19 i lp=550</v>
      </c>
      <c r="Y63" s="27" t="str">
        <f t="shared" si="15"/>
        <v>rokwzgl=20 i lp=550</v>
      </c>
      <c r="Z63" s="27" t="str">
        <f t="shared" si="15"/>
        <v>rokwzgl=21 i lp=550</v>
      </c>
      <c r="AA63" s="27" t="str">
        <f t="shared" si="15"/>
        <v>rokwzgl=22 i lp=550</v>
      </c>
      <c r="AB63" s="27" t="str">
        <f t="shared" si="15"/>
        <v>rokwzgl=23 i lp=550</v>
      </c>
      <c r="AC63" s="27" t="str">
        <f t="shared" si="15"/>
        <v>rokwzgl=24 i lp=550</v>
      </c>
      <c r="AD63" s="27" t="str">
        <f t="shared" si="15"/>
        <v>rokwzgl=25 i lp=550</v>
      </c>
      <c r="AE63" s="27" t="str">
        <f t="shared" si="15"/>
        <v>rokwzgl=26 i lp=550</v>
      </c>
      <c r="AF63" s="27" t="str">
        <f t="shared" si="15"/>
        <v>rokwzgl=27 i lp=550</v>
      </c>
      <c r="AG63" s="27" t="str">
        <f t="shared" si="15"/>
        <v>rokwzgl=28 i lp=550</v>
      </c>
      <c r="AH63" s="27" t="str">
        <f t="shared" si="15"/>
        <v>rokwzgl=29 i lp=550</v>
      </c>
    </row>
    <row r="64" spans="1:34">
      <c r="A64" s="26">
        <v>560</v>
      </c>
      <c r="B64" s="26" t="s">
        <v>157</v>
      </c>
      <c r="C64" s="27" t="s">
        <v>86</v>
      </c>
      <c r="D64" s="27" t="str">
        <f t="shared" si="13"/>
        <v>rokwzgl=0 i lp=560</v>
      </c>
      <c r="E64" s="27" t="str">
        <f t="shared" si="13"/>
        <v>rokwzgl=0 i lp=560</v>
      </c>
      <c r="F64" s="27" t="str">
        <f t="shared" si="13"/>
        <v>rokwzgl=1 i lp=560</v>
      </c>
      <c r="G64" s="27" t="str">
        <f t="shared" si="13"/>
        <v>rokwzgl=2 i lp=560</v>
      </c>
      <c r="H64" s="27" t="str">
        <f t="shared" si="13"/>
        <v>rokwzgl=3 i lp=560</v>
      </c>
      <c r="I64" s="27" t="str">
        <f t="shared" si="13"/>
        <v>rokwzgl=4 i lp=560</v>
      </c>
      <c r="J64" s="27" t="str">
        <f t="shared" si="13"/>
        <v>rokwzgl=5 i lp=560</v>
      </c>
      <c r="K64" s="27" t="str">
        <f t="shared" si="13"/>
        <v>rokwzgl=6 i lp=560</v>
      </c>
      <c r="L64" s="27" t="str">
        <f t="shared" si="13"/>
        <v>rokwzgl=7 i lp=560</v>
      </c>
      <c r="M64" s="27" t="str">
        <f t="shared" si="13"/>
        <v>rokwzgl=8 i lp=560</v>
      </c>
      <c r="N64" s="27" t="str">
        <f t="shared" si="14"/>
        <v>rokwzgl=9 i lp=560</v>
      </c>
      <c r="O64" s="27" t="str">
        <f t="shared" si="14"/>
        <v>rokwzgl=10 i lp=560</v>
      </c>
      <c r="P64" s="27" t="str">
        <f t="shared" si="14"/>
        <v>rokwzgl=11 i lp=560</v>
      </c>
      <c r="Q64" s="27" t="str">
        <f t="shared" si="14"/>
        <v>rokwzgl=12 i lp=560</v>
      </c>
      <c r="R64" s="27" t="str">
        <f t="shared" si="14"/>
        <v>rokwzgl=13 i lp=560</v>
      </c>
      <c r="S64" s="27" t="str">
        <f t="shared" si="14"/>
        <v>rokwzgl=14 i lp=560</v>
      </c>
      <c r="T64" s="27" t="str">
        <f t="shared" si="14"/>
        <v>rokwzgl=15 i lp=560</v>
      </c>
      <c r="U64" s="27" t="str">
        <f t="shared" si="14"/>
        <v>rokwzgl=16 i lp=560</v>
      </c>
      <c r="V64" s="27" t="str">
        <f t="shared" si="14"/>
        <v>rokwzgl=17 i lp=560</v>
      </c>
      <c r="W64" s="27" t="str">
        <f t="shared" si="14"/>
        <v>rokwzgl=18 i lp=560</v>
      </c>
      <c r="X64" s="27" t="str">
        <f t="shared" si="15"/>
        <v>rokwzgl=19 i lp=560</v>
      </c>
      <c r="Y64" s="27" t="str">
        <f t="shared" si="15"/>
        <v>rokwzgl=20 i lp=560</v>
      </c>
      <c r="Z64" s="27" t="str">
        <f t="shared" si="15"/>
        <v>rokwzgl=21 i lp=560</v>
      </c>
      <c r="AA64" s="27" t="str">
        <f t="shared" si="15"/>
        <v>rokwzgl=22 i lp=560</v>
      </c>
      <c r="AB64" s="27" t="str">
        <f t="shared" si="15"/>
        <v>rokwzgl=23 i lp=560</v>
      </c>
      <c r="AC64" s="27" t="str">
        <f t="shared" si="15"/>
        <v>rokwzgl=24 i lp=560</v>
      </c>
      <c r="AD64" s="27" t="str">
        <f t="shared" si="15"/>
        <v>rokwzgl=25 i lp=560</v>
      </c>
      <c r="AE64" s="27" t="str">
        <f t="shared" si="15"/>
        <v>rokwzgl=26 i lp=560</v>
      </c>
      <c r="AF64" s="27" t="str">
        <f t="shared" si="15"/>
        <v>rokwzgl=27 i lp=560</v>
      </c>
      <c r="AG64" s="27" t="str">
        <f t="shared" si="15"/>
        <v>rokwzgl=28 i lp=560</v>
      </c>
      <c r="AH64" s="27" t="str">
        <f t="shared" si="15"/>
        <v>rokwzgl=29 i lp=560</v>
      </c>
    </row>
    <row r="65" spans="1:34">
      <c r="A65" s="26">
        <v>570</v>
      </c>
      <c r="B65" s="26">
        <v>11</v>
      </c>
      <c r="C65" s="27" t="s">
        <v>87</v>
      </c>
      <c r="D65" s="27" t="str">
        <f t="shared" si="13"/>
        <v>rokwzgl=0 i lp=570</v>
      </c>
      <c r="E65" s="27" t="str">
        <f t="shared" si="13"/>
        <v>rokwzgl=0 i lp=570</v>
      </c>
      <c r="F65" s="27" t="str">
        <f t="shared" si="13"/>
        <v>rokwzgl=1 i lp=570</v>
      </c>
      <c r="G65" s="27" t="str">
        <f t="shared" si="13"/>
        <v>rokwzgl=2 i lp=570</v>
      </c>
      <c r="H65" s="27" t="str">
        <f t="shared" si="13"/>
        <v>rokwzgl=3 i lp=570</v>
      </c>
      <c r="I65" s="27" t="str">
        <f t="shared" si="13"/>
        <v>rokwzgl=4 i lp=570</v>
      </c>
      <c r="J65" s="27" t="str">
        <f t="shared" si="13"/>
        <v>rokwzgl=5 i lp=570</v>
      </c>
      <c r="K65" s="27" t="str">
        <f t="shared" si="13"/>
        <v>rokwzgl=6 i lp=570</v>
      </c>
      <c r="L65" s="27" t="str">
        <f t="shared" si="13"/>
        <v>rokwzgl=7 i lp=570</v>
      </c>
      <c r="M65" s="27" t="str">
        <f t="shared" si="13"/>
        <v>rokwzgl=8 i lp=570</v>
      </c>
      <c r="N65" s="27" t="str">
        <f t="shared" si="14"/>
        <v>rokwzgl=9 i lp=570</v>
      </c>
      <c r="O65" s="27" t="str">
        <f t="shared" si="14"/>
        <v>rokwzgl=10 i lp=570</v>
      </c>
      <c r="P65" s="27" t="str">
        <f t="shared" si="14"/>
        <v>rokwzgl=11 i lp=570</v>
      </c>
      <c r="Q65" s="27" t="str">
        <f t="shared" si="14"/>
        <v>rokwzgl=12 i lp=570</v>
      </c>
      <c r="R65" s="27" t="str">
        <f t="shared" si="14"/>
        <v>rokwzgl=13 i lp=570</v>
      </c>
      <c r="S65" s="27" t="str">
        <f t="shared" si="14"/>
        <v>rokwzgl=14 i lp=570</v>
      </c>
      <c r="T65" s="27" t="str">
        <f t="shared" si="14"/>
        <v>rokwzgl=15 i lp=570</v>
      </c>
      <c r="U65" s="27" t="str">
        <f t="shared" si="14"/>
        <v>rokwzgl=16 i lp=570</v>
      </c>
      <c r="V65" s="27" t="str">
        <f t="shared" si="14"/>
        <v>rokwzgl=17 i lp=570</v>
      </c>
      <c r="W65" s="27" t="str">
        <f t="shared" si="14"/>
        <v>rokwzgl=18 i lp=570</v>
      </c>
      <c r="X65" s="27" t="str">
        <f t="shared" si="15"/>
        <v>rokwzgl=19 i lp=570</v>
      </c>
      <c r="Y65" s="27" t="str">
        <f t="shared" si="15"/>
        <v>rokwzgl=20 i lp=570</v>
      </c>
      <c r="Z65" s="27" t="str">
        <f t="shared" si="15"/>
        <v>rokwzgl=21 i lp=570</v>
      </c>
      <c r="AA65" s="27" t="str">
        <f t="shared" si="15"/>
        <v>rokwzgl=22 i lp=570</v>
      </c>
      <c r="AB65" s="27" t="str">
        <f t="shared" si="15"/>
        <v>rokwzgl=23 i lp=570</v>
      </c>
      <c r="AC65" s="27" t="str">
        <f t="shared" si="15"/>
        <v>rokwzgl=24 i lp=570</v>
      </c>
      <c r="AD65" s="27" t="str">
        <f t="shared" si="15"/>
        <v>rokwzgl=25 i lp=570</v>
      </c>
      <c r="AE65" s="27" t="str">
        <f t="shared" si="15"/>
        <v>rokwzgl=26 i lp=570</v>
      </c>
      <c r="AF65" s="27" t="str">
        <f t="shared" si="15"/>
        <v>rokwzgl=27 i lp=570</v>
      </c>
      <c r="AG65" s="27" t="str">
        <f t="shared" si="15"/>
        <v>rokwzgl=28 i lp=570</v>
      </c>
      <c r="AH65" s="27" t="str">
        <f t="shared" si="15"/>
        <v>rokwzgl=29 i lp=570</v>
      </c>
    </row>
    <row r="66" spans="1:34">
      <c r="A66" s="26">
        <v>580</v>
      </c>
      <c r="B66" s="26" t="s">
        <v>158</v>
      </c>
      <c r="C66" s="27" t="s">
        <v>88</v>
      </c>
      <c r="D66" s="27" t="str">
        <f t="shared" ref="D66:M75" si="16">+"rokwzgl="&amp;D$9&amp;" i lp="&amp;$A66</f>
        <v>rokwzgl=0 i lp=580</v>
      </c>
      <c r="E66" s="27" t="str">
        <f t="shared" si="16"/>
        <v>rokwzgl=0 i lp=580</v>
      </c>
      <c r="F66" s="27" t="str">
        <f t="shared" si="16"/>
        <v>rokwzgl=1 i lp=580</v>
      </c>
      <c r="G66" s="27" t="str">
        <f t="shared" si="16"/>
        <v>rokwzgl=2 i lp=580</v>
      </c>
      <c r="H66" s="27" t="str">
        <f t="shared" si="16"/>
        <v>rokwzgl=3 i lp=580</v>
      </c>
      <c r="I66" s="27" t="str">
        <f t="shared" si="16"/>
        <v>rokwzgl=4 i lp=580</v>
      </c>
      <c r="J66" s="27" t="str">
        <f t="shared" si="16"/>
        <v>rokwzgl=5 i lp=580</v>
      </c>
      <c r="K66" s="27" t="str">
        <f t="shared" si="16"/>
        <v>rokwzgl=6 i lp=580</v>
      </c>
      <c r="L66" s="27" t="str">
        <f t="shared" si="16"/>
        <v>rokwzgl=7 i lp=580</v>
      </c>
      <c r="M66" s="27" t="str">
        <f t="shared" si="16"/>
        <v>rokwzgl=8 i lp=580</v>
      </c>
      <c r="N66" s="27" t="str">
        <f t="shared" ref="N66:W75" si="17">+"rokwzgl="&amp;N$9&amp;" i lp="&amp;$A66</f>
        <v>rokwzgl=9 i lp=580</v>
      </c>
      <c r="O66" s="27" t="str">
        <f t="shared" si="17"/>
        <v>rokwzgl=10 i lp=580</v>
      </c>
      <c r="P66" s="27" t="str">
        <f t="shared" si="17"/>
        <v>rokwzgl=11 i lp=580</v>
      </c>
      <c r="Q66" s="27" t="str">
        <f t="shared" si="17"/>
        <v>rokwzgl=12 i lp=580</v>
      </c>
      <c r="R66" s="27" t="str">
        <f t="shared" si="17"/>
        <v>rokwzgl=13 i lp=580</v>
      </c>
      <c r="S66" s="27" t="str">
        <f t="shared" si="17"/>
        <v>rokwzgl=14 i lp=580</v>
      </c>
      <c r="T66" s="27" t="str">
        <f t="shared" si="17"/>
        <v>rokwzgl=15 i lp=580</v>
      </c>
      <c r="U66" s="27" t="str">
        <f t="shared" si="17"/>
        <v>rokwzgl=16 i lp=580</v>
      </c>
      <c r="V66" s="27" t="str">
        <f t="shared" si="17"/>
        <v>rokwzgl=17 i lp=580</v>
      </c>
      <c r="W66" s="27" t="str">
        <f t="shared" si="17"/>
        <v>rokwzgl=18 i lp=580</v>
      </c>
      <c r="X66" s="27" t="str">
        <f t="shared" ref="X66:AH75" si="18">+"rokwzgl="&amp;X$9&amp;" i lp="&amp;$A66</f>
        <v>rokwzgl=19 i lp=580</v>
      </c>
      <c r="Y66" s="27" t="str">
        <f t="shared" si="18"/>
        <v>rokwzgl=20 i lp=580</v>
      </c>
      <c r="Z66" s="27" t="str">
        <f t="shared" si="18"/>
        <v>rokwzgl=21 i lp=580</v>
      </c>
      <c r="AA66" s="27" t="str">
        <f t="shared" si="18"/>
        <v>rokwzgl=22 i lp=580</v>
      </c>
      <c r="AB66" s="27" t="str">
        <f t="shared" si="18"/>
        <v>rokwzgl=23 i lp=580</v>
      </c>
      <c r="AC66" s="27" t="str">
        <f t="shared" si="18"/>
        <v>rokwzgl=24 i lp=580</v>
      </c>
      <c r="AD66" s="27" t="str">
        <f t="shared" si="18"/>
        <v>rokwzgl=25 i lp=580</v>
      </c>
      <c r="AE66" s="27" t="str">
        <f t="shared" si="18"/>
        <v>rokwzgl=26 i lp=580</v>
      </c>
      <c r="AF66" s="27" t="str">
        <f t="shared" si="18"/>
        <v>rokwzgl=27 i lp=580</v>
      </c>
      <c r="AG66" s="27" t="str">
        <f t="shared" si="18"/>
        <v>rokwzgl=28 i lp=580</v>
      </c>
      <c r="AH66" s="27" t="str">
        <f t="shared" si="18"/>
        <v>rokwzgl=29 i lp=580</v>
      </c>
    </row>
    <row r="67" spans="1:34">
      <c r="A67" s="26">
        <v>590</v>
      </c>
      <c r="B67" s="26" t="s">
        <v>159</v>
      </c>
      <c r="C67" s="27" t="s">
        <v>89</v>
      </c>
      <c r="D67" s="27" t="str">
        <f t="shared" si="16"/>
        <v>rokwzgl=0 i lp=590</v>
      </c>
      <c r="E67" s="27" t="str">
        <f t="shared" si="16"/>
        <v>rokwzgl=0 i lp=590</v>
      </c>
      <c r="F67" s="27" t="str">
        <f t="shared" si="16"/>
        <v>rokwzgl=1 i lp=590</v>
      </c>
      <c r="G67" s="27" t="str">
        <f t="shared" si="16"/>
        <v>rokwzgl=2 i lp=590</v>
      </c>
      <c r="H67" s="27" t="str">
        <f t="shared" si="16"/>
        <v>rokwzgl=3 i lp=590</v>
      </c>
      <c r="I67" s="27" t="str">
        <f t="shared" si="16"/>
        <v>rokwzgl=4 i lp=590</v>
      </c>
      <c r="J67" s="27" t="str">
        <f t="shared" si="16"/>
        <v>rokwzgl=5 i lp=590</v>
      </c>
      <c r="K67" s="27" t="str">
        <f t="shared" si="16"/>
        <v>rokwzgl=6 i lp=590</v>
      </c>
      <c r="L67" s="27" t="str">
        <f t="shared" si="16"/>
        <v>rokwzgl=7 i lp=590</v>
      </c>
      <c r="M67" s="27" t="str">
        <f t="shared" si="16"/>
        <v>rokwzgl=8 i lp=590</v>
      </c>
      <c r="N67" s="27" t="str">
        <f t="shared" si="17"/>
        <v>rokwzgl=9 i lp=590</v>
      </c>
      <c r="O67" s="27" t="str">
        <f t="shared" si="17"/>
        <v>rokwzgl=10 i lp=590</v>
      </c>
      <c r="P67" s="27" t="str">
        <f t="shared" si="17"/>
        <v>rokwzgl=11 i lp=590</v>
      </c>
      <c r="Q67" s="27" t="str">
        <f t="shared" si="17"/>
        <v>rokwzgl=12 i lp=590</v>
      </c>
      <c r="R67" s="27" t="str">
        <f t="shared" si="17"/>
        <v>rokwzgl=13 i lp=590</v>
      </c>
      <c r="S67" s="27" t="str">
        <f t="shared" si="17"/>
        <v>rokwzgl=14 i lp=590</v>
      </c>
      <c r="T67" s="27" t="str">
        <f t="shared" si="17"/>
        <v>rokwzgl=15 i lp=590</v>
      </c>
      <c r="U67" s="27" t="str">
        <f t="shared" si="17"/>
        <v>rokwzgl=16 i lp=590</v>
      </c>
      <c r="V67" s="27" t="str">
        <f t="shared" si="17"/>
        <v>rokwzgl=17 i lp=590</v>
      </c>
      <c r="W67" s="27" t="str">
        <f t="shared" si="17"/>
        <v>rokwzgl=18 i lp=590</v>
      </c>
      <c r="X67" s="27" t="str">
        <f t="shared" si="18"/>
        <v>rokwzgl=19 i lp=590</v>
      </c>
      <c r="Y67" s="27" t="str">
        <f t="shared" si="18"/>
        <v>rokwzgl=20 i lp=590</v>
      </c>
      <c r="Z67" s="27" t="str">
        <f t="shared" si="18"/>
        <v>rokwzgl=21 i lp=590</v>
      </c>
      <c r="AA67" s="27" t="str">
        <f t="shared" si="18"/>
        <v>rokwzgl=22 i lp=590</v>
      </c>
      <c r="AB67" s="27" t="str">
        <f t="shared" si="18"/>
        <v>rokwzgl=23 i lp=590</v>
      </c>
      <c r="AC67" s="27" t="str">
        <f t="shared" si="18"/>
        <v>rokwzgl=24 i lp=590</v>
      </c>
      <c r="AD67" s="27" t="str">
        <f t="shared" si="18"/>
        <v>rokwzgl=25 i lp=590</v>
      </c>
      <c r="AE67" s="27" t="str">
        <f t="shared" si="18"/>
        <v>rokwzgl=26 i lp=590</v>
      </c>
      <c r="AF67" s="27" t="str">
        <f t="shared" si="18"/>
        <v>rokwzgl=27 i lp=590</v>
      </c>
      <c r="AG67" s="27" t="str">
        <f t="shared" si="18"/>
        <v>rokwzgl=28 i lp=590</v>
      </c>
      <c r="AH67" s="27" t="str">
        <f t="shared" si="18"/>
        <v>rokwzgl=29 i lp=590</v>
      </c>
    </row>
    <row r="68" spans="1:34">
      <c r="A68" s="26">
        <v>600</v>
      </c>
      <c r="B68" s="26" t="s">
        <v>160</v>
      </c>
      <c r="C68" s="27" t="s">
        <v>402</v>
      </c>
      <c r="D68" s="27" t="str">
        <f t="shared" si="16"/>
        <v>rokwzgl=0 i lp=600</v>
      </c>
      <c r="E68" s="27" t="str">
        <f t="shared" si="16"/>
        <v>rokwzgl=0 i lp=600</v>
      </c>
      <c r="F68" s="27" t="str">
        <f t="shared" si="16"/>
        <v>rokwzgl=1 i lp=600</v>
      </c>
      <c r="G68" s="27" t="str">
        <f t="shared" si="16"/>
        <v>rokwzgl=2 i lp=600</v>
      </c>
      <c r="H68" s="27" t="str">
        <f t="shared" si="16"/>
        <v>rokwzgl=3 i lp=600</v>
      </c>
      <c r="I68" s="27" t="str">
        <f t="shared" si="16"/>
        <v>rokwzgl=4 i lp=600</v>
      </c>
      <c r="J68" s="27" t="str">
        <f t="shared" si="16"/>
        <v>rokwzgl=5 i lp=600</v>
      </c>
      <c r="K68" s="27" t="str">
        <f t="shared" si="16"/>
        <v>rokwzgl=6 i lp=600</v>
      </c>
      <c r="L68" s="27" t="str">
        <f t="shared" si="16"/>
        <v>rokwzgl=7 i lp=600</v>
      </c>
      <c r="M68" s="27" t="str">
        <f t="shared" si="16"/>
        <v>rokwzgl=8 i lp=600</v>
      </c>
      <c r="N68" s="27" t="str">
        <f t="shared" si="17"/>
        <v>rokwzgl=9 i lp=600</v>
      </c>
      <c r="O68" s="27" t="str">
        <f t="shared" si="17"/>
        <v>rokwzgl=10 i lp=600</v>
      </c>
      <c r="P68" s="27" t="str">
        <f t="shared" si="17"/>
        <v>rokwzgl=11 i lp=600</v>
      </c>
      <c r="Q68" s="27" t="str">
        <f t="shared" si="17"/>
        <v>rokwzgl=12 i lp=600</v>
      </c>
      <c r="R68" s="27" t="str">
        <f t="shared" si="17"/>
        <v>rokwzgl=13 i lp=600</v>
      </c>
      <c r="S68" s="27" t="str">
        <f t="shared" si="17"/>
        <v>rokwzgl=14 i lp=600</v>
      </c>
      <c r="T68" s="27" t="str">
        <f t="shared" si="17"/>
        <v>rokwzgl=15 i lp=600</v>
      </c>
      <c r="U68" s="27" t="str">
        <f t="shared" si="17"/>
        <v>rokwzgl=16 i lp=600</v>
      </c>
      <c r="V68" s="27" t="str">
        <f t="shared" si="17"/>
        <v>rokwzgl=17 i lp=600</v>
      </c>
      <c r="W68" s="27" t="str">
        <f t="shared" si="17"/>
        <v>rokwzgl=18 i lp=600</v>
      </c>
      <c r="X68" s="27" t="str">
        <f t="shared" si="18"/>
        <v>rokwzgl=19 i lp=600</v>
      </c>
      <c r="Y68" s="27" t="str">
        <f t="shared" si="18"/>
        <v>rokwzgl=20 i lp=600</v>
      </c>
      <c r="Z68" s="27" t="str">
        <f t="shared" si="18"/>
        <v>rokwzgl=21 i lp=600</v>
      </c>
      <c r="AA68" s="27" t="str">
        <f t="shared" si="18"/>
        <v>rokwzgl=22 i lp=600</v>
      </c>
      <c r="AB68" s="27" t="str">
        <f t="shared" si="18"/>
        <v>rokwzgl=23 i lp=600</v>
      </c>
      <c r="AC68" s="27" t="str">
        <f t="shared" si="18"/>
        <v>rokwzgl=24 i lp=600</v>
      </c>
      <c r="AD68" s="27" t="str">
        <f t="shared" si="18"/>
        <v>rokwzgl=25 i lp=600</v>
      </c>
      <c r="AE68" s="27" t="str">
        <f t="shared" si="18"/>
        <v>rokwzgl=26 i lp=600</v>
      </c>
      <c r="AF68" s="27" t="str">
        <f t="shared" si="18"/>
        <v>rokwzgl=27 i lp=600</v>
      </c>
      <c r="AG68" s="27" t="str">
        <f t="shared" si="18"/>
        <v>rokwzgl=28 i lp=600</v>
      </c>
      <c r="AH68" s="27" t="str">
        <f t="shared" si="18"/>
        <v>rokwzgl=29 i lp=600</v>
      </c>
    </row>
    <row r="69" spans="1:34">
      <c r="A69" s="26">
        <v>610</v>
      </c>
      <c r="B69" s="26" t="s">
        <v>90</v>
      </c>
      <c r="C69" s="27" t="s">
        <v>91</v>
      </c>
      <c r="D69" s="27" t="str">
        <f t="shared" si="16"/>
        <v>rokwzgl=0 i lp=610</v>
      </c>
      <c r="E69" s="27" t="str">
        <f t="shared" si="16"/>
        <v>rokwzgl=0 i lp=610</v>
      </c>
      <c r="F69" s="27" t="str">
        <f t="shared" si="16"/>
        <v>rokwzgl=1 i lp=610</v>
      </c>
      <c r="G69" s="27" t="str">
        <f t="shared" si="16"/>
        <v>rokwzgl=2 i lp=610</v>
      </c>
      <c r="H69" s="27" t="str">
        <f t="shared" si="16"/>
        <v>rokwzgl=3 i lp=610</v>
      </c>
      <c r="I69" s="27" t="str">
        <f t="shared" si="16"/>
        <v>rokwzgl=4 i lp=610</v>
      </c>
      <c r="J69" s="27" t="str">
        <f t="shared" si="16"/>
        <v>rokwzgl=5 i lp=610</v>
      </c>
      <c r="K69" s="27" t="str">
        <f t="shared" si="16"/>
        <v>rokwzgl=6 i lp=610</v>
      </c>
      <c r="L69" s="27" t="str">
        <f t="shared" si="16"/>
        <v>rokwzgl=7 i lp=610</v>
      </c>
      <c r="M69" s="27" t="str">
        <f t="shared" si="16"/>
        <v>rokwzgl=8 i lp=610</v>
      </c>
      <c r="N69" s="27" t="str">
        <f t="shared" si="17"/>
        <v>rokwzgl=9 i lp=610</v>
      </c>
      <c r="O69" s="27" t="str">
        <f t="shared" si="17"/>
        <v>rokwzgl=10 i lp=610</v>
      </c>
      <c r="P69" s="27" t="str">
        <f t="shared" si="17"/>
        <v>rokwzgl=11 i lp=610</v>
      </c>
      <c r="Q69" s="27" t="str">
        <f t="shared" si="17"/>
        <v>rokwzgl=12 i lp=610</v>
      </c>
      <c r="R69" s="27" t="str">
        <f t="shared" si="17"/>
        <v>rokwzgl=13 i lp=610</v>
      </c>
      <c r="S69" s="27" t="str">
        <f t="shared" si="17"/>
        <v>rokwzgl=14 i lp=610</v>
      </c>
      <c r="T69" s="27" t="str">
        <f t="shared" si="17"/>
        <v>rokwzgl=15 i lp=610</v>
      </c>
      <c r="U69" s="27" t="str">
        <f t="shared" si="17"/>
        <v>rokwzgl=16 i lp=610</v>
      </c>
      <c r="V69" s="27" t="str">
        <f t="shared" si="17"/>
        <v>rokwzgl=17 i lp=610</v>
      </c>
      <c r="W69" s="27" t="str">
        <f t="shared" si="17"/>
        <v>rokwzgl=18 i lp=610</v>
      </c>
      <c r="X69" s="27" t="str">
        <f t="shared" si="18"/>
        <v>rokwzgl=19 i lp=610</v>
      </c>
      <c r="Y69" s="27" t="str">
        <f t="shared" si="18"/>
        <v>rokwzgl=20 i lp=610</v>
      </c>
      <c r="Z69" s="27" t="str">
        <f t="shared" si="18"/>
        <v>rokwzgl=21 i lp=610</v>
      </c>
      <c r="AA69" s="27" t="str">
        <f t="shared" si="18"/>
        <v>rokwzgl=22 i lp=610</v>
      </c>
      <c r="AB69" s="27" t="str">
        <f t="shared" si="18"/>
        <v>rokwzgl=23 i lp=610</v>
      </c>
      <c r="AC69" s="27" t="str">
        <f t="shared" si="18"/>
        <v>rokwzgl=24 i lp=610</v>
      </c>
      <c r="AD69" s="27" t="str">
        <f t="shared" si="18"/>
        <v>rokwzgl=25 i lp=610</v>
      </c>
      <c r="AE69" s="27" t="str">
        <f t="shared" si="18"/>
        <v>rokwzgl=26 i lp=610</v>
      </c>
      <c r="AF69" s="27" t="str">
        <f t="shared" si="18"/>
        <v>rokwzgl=27 i lp=610</v>
      </c>
      <c r="AG69" s="27" t="str">
        <f t="shared" si="18"/>
        <v>rokwzgl=28 i lp=610</v>
      </c>
      <c r="AH69" s="27" t="str">
        <f t="shared" si="18"/>
        <v>rokwzgl=29 i lp=610</v>
      </c>
    </row>
    <row r="70" spans="1:34">
      <c r="A70" s="26">
        <v>620</v>
      </c>
      <c r="B70" s="26" t="s">
        <v>92</v>
      </c>
      <c r="C70" s="27" t="s">
        <v>93</v>
      </c>
      <c r="D70" s="27" t="str">
        <f t="shared" si="16"/>
        <v>rokwzgl=0 i lp=620</v>
      </c>
      <c r="E70" s="27" t="str">
        <f t="shared" si="16"/>
        <v>rokwzgl=0 i lp=620</v>
      </c>
      <c r="F70" s="27" t="str">
        <f t="shared" si="16"/>
        <v>rokwzgl=1 i lp=620</v>
      </c>
      <c r="G70" s="27" t="str">
        <f t="shared" si="16"/>
        <v>rokwzgl=2 i lp=620</v>
      </c>
      <c r="H70" s="27" t="str">
        <f t="shared" si="16"/>
        <v>rokwzgl=3 i lp=620</v>
      </c>
      <c r="I70" s="27" t="str">
        <f t="shared" si="16"/>
        <v>rokwzgl=4 i lp=620</v>
      </c>
      <c r="J70" s="27" t="str">
        <f t="shared" si="16"/>
        <v>rokwzgl=5 i lp=620</v>
      </c>
      <c r="K70" s="27" t="str">
        <f t="shared" si="16"/>
        <v>rokwzgl=6 i lp=620</v>
      </c>
      <c r="L70" s="27" t="str">
        <f t="shared" si="16"/>
        <v>rokwzgl=7 i lp=620</v>
      </c>
      <c r="M70" s="27" t="str">
        <f t="shared" si="16"/>
        <v>rokwzgl=8 i lp=620</v>
      </c>
      <c r="N70" s="27" t="str">
        <f t="shared" si="17"/>
        <v>rokwzgl=9 i lp=620</v>
      </c>
      <c r="O70" s="27" t="str">
        <f t="shared" si="17"/>
        <v>rokwzgl=10 i lp=620</v>
      </c>
      <c r="P70" s="27" t="str">
        <f t="shared" si="17"/>
        <v>rokwzgl=11 i lp=620</v>
      </c>
      <c r="Q70" s="27" t="str">
        <f t="shared" si="17"/>
        <v>rokwzgl=12 i lp=620</v>
      </c>
      <c r="R70" s="27" t="str">
        <f t="shared" si="17"/>
        <v>rokwzgl=13 i lp=620</v>
      </c>
      <c r="S70" s="27" t="str">
        <f t="shared" si="17"/>
        <v>rokwzgl=14 i lp=620</v>
      </c>
      <c r="T70" s="27" t="str">
        <f t="shared" si="17"/>
        <v>rokwzgl=15 i lp=620</v>
      </c>
      <c r="U70" s="27" t="str">
        <f t="shared" si="17"/>
        <v>rokwzgl=16 i lp=620</v>
      </c>
      <c r="V70" s="27" t="str">
        <f t="shared" si="17"/>
        <v>rokwzgl=17 i lp=620</v>
      </c>
      <c r="W70" s="27" t="str">
        <f t="shared" si="17"/>
        <v>rokwzgl=18 i lp=620</v>
      </c>
      <c r="X70" s="27" t="str">
        <f t="shared" si="18"/>
        <v>rokwzgl=19 i lp=620</v>
      </c>
      <c r="Y70" s="27" t="str">
        <f t="shared" si="18"/>
        <v>rokwzgl=20 i lp=620</v>
      </c>
      <c r="Z70" s="27" t="str">
        <f t="shared" si="18"/>
        <v>rokwzgl=21 i lp=620</v>
      </c>
      <c r="AA70" s="27" t="str">
        <f t="shared" si="18"/>
        <v>rokwzgl=22 i lp=620</v>
      </c>
      <c r="AB70" s="27" t="str">
        <f t="shared" si="18"/>
        <v>rokwzgl=23 i lp=620</v>
      </c>
      <c r="AC70" s="27" t="str">
        <f t="shared" si="18"/>
        <v>rokwzgl=24 i lp=620</v>
      </c>
      <c r="AD70" s="27" t="str">
        <f t="shared" si="18"/>
        <v>rokwzgl=25 i lp=620</v>
      </c>
      <c r="AE70" s="27" t="str">
        <f t="shared" si="18"/>
        <v>rokwzgl=26 i lp=620</v>
      </c>
      <c r="AF70" s="27" t="str">
        <f t="shared" si="18"/>
        <v>rokwzgl=27 i lp=620</v>
      </c>
      <c r="AG70" s="27" t="str">
        <f t="shared" si="18"/>
        <v>rokwzgl=28 i lp=620</v>
      </c>
      <c r="AH70" s="27" t="str">
        <f t="shared" si="18"/>
        <v>rokwzgl=29 i lp=620</v>
      </c>
    </row>
    <row r="71" spans="1:34">
      <c r="A71" s="26">
        <v>630</v>
      </c>
      <c r="B71" s="26" t="s">
        <v>161</v>
      </c>
      <c r="C71" s="27" t="s">
        <v>94</v>
      </c>
      <c r="D71" s="27" t="str">
        <f t="shared" si="16"/>
        <v>rokwzgl=0 i lp=630</v>
      </c>
      <c r="E71" s="27" t="str">
        <f t="shared" si="16"/>
        <v>rokwzgl=0 i lp=630</v>
      </c>
      <c r="F71" s="27" t="str">
        <f t="shared" si="16"/>
        <v>rokwzgl=1 i lp=630</v>
      </c>
      <c r="G71" s="27" t="str">
        <f t="shared" si="16"/>
        <v>rokwzgl=2 i lp=630</v>
      </c>
      <c r="H71" s="27" t="str">
        <f t="shared" si="16"/>
        <v>rokwzgl=3 i lp=630</v>
      </c>
      <c r="I71" s="27" t="str">
        <f t="shared" si="16"/>
        <v>rokwzgl=4 i lp=630</v>
      </c>
      <c r="J71" s="27" t="str">
        <f t="shared" si="16"/>
        <v>rokwzgl=5 i lp=630</v>
      </c>
      <c r="K71" s="27" t="str">
        <f t="shared" si="16"/>
        <v>rokwzgl=6 i lp=630</v>
      </c>
      <c r="L71" s="27" t="str">
        <f t="shared" si="16"/>
        <v>rokwzgl=7 i lp=630</v>
      </c>
      <c r="M71" s="27" t="str">
        <f t="shared" si="16"/>
        <v>rokwzgl=8 i lp=630</v>
      </c>
      <c r="N71" s="27" t="str">
        <f t="shared" si="17"/>
        <v>rokwzgl=9 i lp=630</v>
      </c>
      <c r="O71" s="27" t="str">
        <f t="shared" si="17"/>
        <v>rokwzgl=10 i lp=630</v>
      </c>
      <c r="P71" s="27" t="str">
        <f t="shared" si="17"/>
        <v>rokwzgl=11 i lp=630</v>
      </c>
      <c r="Q71" s="27" t="str">
        <f t="shared" si="17"/>
        <v>rokwzgl=12 i lp=630</v>
      </c>
      <c r="R71" s="27" t="str">
        <f t="shared" si="17"/>
        <v>rokwzgl=13 i lp=630</v>
      </c>
      <c r="S71" s="27" t="str">
        <f t="shared" si="17"/>
        <v>rokwzgl=14 i lp=630</v>
      </c>
      <c r="T71" s="27" t="str">
        <f t="shared" si="17"/>
        <v>rokwzgl=15 i lp=630</v>
      </c>
      <c r="U71" s="27" t="str">
        <f t="shared" si="17"/>
        <v>rokwzgl=16 i lp=630</v>
      </c>
      <c r="V71" s="27" t="str">
        <f t="shared" si="17"/>
        <v>rokwzgl=17 i lp=630</v>
      </c>
      <c r="W71" s="27" t="str">
        <f t="shared" si="17"/>
        <v>rokwzgl=18 i lp=630</v>
      </c>
      <c r="X71" s="27" t="str">
        <f t="shared" si="18"/>
        <v>rokwzgl=19 i lp=630</v>
      </c>
      <c r="Y71" s="27" t="str">
        <f t="shared" si="18"/>
        <v>rokwzgl=20 i lp=630</v>
      </c>
      <c r="Z71" s="27" t="str">
        <f t="shared" si="18"/>
        <v>rokwzgl=21 i lp=630</v>
      </c>
      <c r="AA71" s="27" t="str">
        <f t="shared" si="18"/>
        <v>rokwzgl=22 i lp=630</v>
      </c>
      <c r="AB71" s="27" t="str">
        <f t="shared" si="18"/>
        <v>rokwzgl=23 i lp=630</v>
      </c>
      <c r="AC71" s="27" t="str">
        <f t="shared" si="18"/>
        <v>rokwzgl=24 i lp=630</v>
      </c>
      <c r="AD71" s="27" t="str">
        <f t="shared" si="18"/>
        <v>rokwzgl=25 i lp=630</v>
      </c>
      <c r="AE71" s="27" t="str">
        <f t="shared" si="18"/>
        <v>rokwzgl=26 i lp=630</v>
      </c>
      <c r="AF71" s="27" t="str">
        <f t="shared" si="18"/>
        <v>rokwzgl=27 i lp=630</v>
      </c>
      <c r="AG71" s="27" t="str">
        <f t="shared" si="18"/>
        <v>rokwzgl=28 i lp=630</v>
      </c>
      <c r="AH71" s="27" t="str">
        <f t="shared" si="18"/>
        <v>rokwzgl=29 i lp=630</v>
      </c>
    </row>
    <row r="72" spans="1:34">
      <c r="A72" s="26">
        <v>640</v>
      </c>
      <c r="B72" s="26" t="s">
        <v>162</v>
      </c>
      <c r="C72" s="27" t="s">
        <v>95</v>
      </c>
      <c r="D72" s="27" t="str">
        <f t="shared" si="16"/>
        <v>rokwzgl=0 i lp=640</v>
      </c>
      <c r="E72" s="27" t="str">
        <f t="shared" si="16"/>
        <v>rokwzgl=0 i lp=640</v>
      </c>
      <c r="F72" s="27" t="str">
        <f t="shared" si="16"/>
        <v>rokwzgl=1 i lp=640</v>
      </c>
      <c r="G72" s="27" t="str">
        <f t="shared" si="16"/>
        <v>rokwzgl=2 i lp=640</v>
      </c>
      <c r="H72" s="27" t="str">
        <f t="shared" si="16"/>
        <v>rokwzgl=3 i lp=640</v>
      </c>
      <c r="I72" s="27" t="str">
        <f t="shared" si="16"/>
        <v>rokwzgl=4 i lp=640</v>
      </c>
      <c r="J72" s="27" t="str">
        <f t="shared" si="16"/>
        <v>rokwzgl=5 i lp=640</v>
      </c>
      <c r="K72" s="27" t="str">
        <f t="shared" si="16"/>
        <v>rokwzgl=6 i lp=640</v>
      </c>
      <c r="L72" s="27" t="str">
        <f t="shared" si="16"/>
        <v>rokwzgl=7 i lp=640</v>
      </c>
      <c r="M72" s="27" t="str">
        <f t="shared" si="16"/>
        <v>rokwzgl=8 i lp=640</v>
      </c>
      <c r="N72" s="27" t="str">
        <f t="shared" si="17"/>
        <v>rokwzgl=9 i lp=640</v>
      </c>
      <c r="O72" s="27" t="str">
        <f t="shared" si="17"/>
        <v>rokwzgl=10 i lp=640</v>
      </c>
      <c r="P72" s="27" t="str">
        <f t="shared" si="17"/>
        <v>rokwzgl=11 i lp=640</v>
      </c>
      <c r="Q72" s="27" t="str">
        <f t="shared" si="17"/>
        <v>rokwzgl=12 i lp=640</v>
      </c>
      <c r="R72" s="27" t="str">
        <f t="shared" si="17"/>
        <v>rokwzgl=13 i lp=640</v>
      </c>
      <c r="S72" s="27" t="str">
        <f t="shared" si="17"/>
        <v>rokwzgl=14 i lp=640</v>
      </c>
      <c r="T72" s="27" t="str">
        <f t="shared" si="17"/>
        <v>rokwzgl=15 i lp=640</v>
      </c>
      <c r="U72" s="27" t="str">
        <f t="shared" si="17"/>
        <v>rokwzgl=16 i lp=640</v>
      </c>
      <c r="V72" s="27" t="str">
        <f t="shared" si="17"/>
        <v>rokwzgl=17 i lp=640</v>
      </c>
      <c r="W72" s="27" t="str">
        <f t="shared" si="17"/>
        <v>rokwzgl=18 i lp=640</v>
      </c>
      <c r="X72" s="27" t="str">
        <f t="shared" si="18"/>
        <v>rokwzgl=19 i lp=640</v>
      </c>
      <c r="Y72" s="27" t="str">
        <f t="shared" si="18"/>
        <v>rokwzgl=20 i lp=640</v>
      </c>
      <c r="Z72" s="27" t="str">
        <f t="shared" si="18"/>
        <v>rokwzgl=21 i lp=640</v>
      </c>
      <c r="AA72" s="27" t="str">
        <f t="shared" si="18"/>
        <v>rokwzgl=22 i lp=640</v>
      </c>
      <c r="AB72" s="27" t="str">
        <f t="shared" si="18"/>
        <v>rokwzgl=23 i lp=640</v>
      </c>
      <c r="AC72" s="27" t="str">
        <f t="shared" si="18"/>
        <v>rokwzgl=24 i lp=640</v>
      </c>
      <c r="AD72" s="27" t="str">
        <f t="shared" si="18"/>
        <v>rokwzgl=25 i lp=640</v>
      </c>
      <c r="AE72" s="27" t="str">
        <f t="shared" si="18"/>
        <v>rokwzgl=26 i lp=640</v>
      </c>
      <c r="AF72" s="27" t="str">
        <f t="shared" si="18"/>
        <v>rokwzgl=27 i lp=640</v>
      </c>
      <c r="AG72" s="27" t="str">
        <f t="shared" si="18"/>
        <v>rokwzgl=28 i lp=640</v>
      </c>
      <c r="AH72" s="27" t="str">
        <f t="shared" si="18"/>
        <v>rokwzgl=29 i lp=640</v>
      </c>
    </row>
    <row r="73" spans="1:34">
      <c r="A73" s="26">
        <v>650</v>
      </c>
      <c r="B73" s="26" t="s">
        <v>163</v>
      </c>
      <c r="C73" s="27" t="s">
        <v>96</v>
      </c>
      <c r="D73" s="27" t="str">
        <f t="shared" si="16"/>
        <v>rokwzgl=0 i lp=650</v>
      </c>
      <c r="E73" s="27" t="str">
        <f t="shared" si="16"/>
        <v>rokwzgl=0 i lp=650</v>
      </c>
      <c r="F73" s="27" t="str">
        <f t="shared" si="16"/>
        <v>rokwzgl=1 i lp=650</v>
      </c>
      <c r="G73" s="27" t="str">
        <f t="shared" si="16"/>
        <v>rokwzgl=2 i lp=650</v>
      </c>
      <c r="H73" s="27" t="str">
        <f t="shared" si="16"/>
        <v>rokwzgl=3 i lp=650</v>
      </c>
      <c r="I73" s="27" t="str">
        <f t="shared" si="16"/>
        <v>rokwzgl=4 i lp=650</v>
      </c>
      <c r="J73" s="27" t="str">
        <f t="shared" si="16"/>
        <v>rokwzgl=5 i lp=650</v>
      </c>
      <c r="K73" s="27" t="str">
        <f t="shared" si="16"/>
        <v>rokwzgl=6 i lp=650</v>
      </c>
      <c r="L73" s="27" t="str">
        <f t="shared" si="16"/>
        <v>rokwzgl=7 i lp=650</v>
      </c>
      <c r="M73" s="27" t="str">
        <f t="shared" si="16"/>
        <v>rokwzgl=8 i lp=650</v>
      </c>
      <c r="N73" s="27" t="str">
        <f t="shared" si="17"/>
        <v>rokwzgl=9 i lp=650</v>
      </c>
      <c r="O73" s="27" t="str">
        <f t="shared" si="17"/>
        <v>rokwzgl=10 i lp=650</v>
      </c>
      <c r="P73" s="27" t="str">
        <f t="shared" si="17"/>
        <v>rokwzgl=11 i lp=650</v>
      </c>
      <c r="Q73" s="27" t="str">
        <f t="shared" si="17"/>
        <v>rokwzgl=12 i lp=650</v>
      </c>
      <c r="R73" s="27" t="str">
        <f t="shared" si="17"/>
        <v>rokwzgl=13 i lp=650</v>
      </c>
      <c r="S73" s="27" t="str">
        <f t="shared" si="17"/>
        <v>rokwzgl=14 i lp=650</v>
      </c>
      <c r="T73" s="27" t="str">
        <f t="shared" si="17"/>
        <v>rokwzgl=15 i lp=650</v>
      </c>
      <c r="U73" s="27" t="str">
        <f t="shared" si="17"/>
        <v>rokwzgl=16 i lp=650</v>
      </c>
      <c r="V73" s="27" t="str">
        <f t="shared" si="17"/>
        <v>rokwzgl=17 i lp=650</v>
      </c>
      <c r="W73" s="27" t="str">
        <f t="shared" si="17"/>
        <v>rokwzgl=18 i lp=650</v>
      </c>
      <c r="X73" s="27" t="str">
        <f t="shared" si="18"/>
        <v>rokwzgl=19 i lp=650</v>
      </c>
      <c r="Y73" s="27" t="str">
        <f t="shared" si="18"/>
        <v>rokwzgl=20 i lp=650</v>
      </c>
      <c r="Z73" s="27" t="str">
        <f t="shared" si="18"/>
        <v>rokwzgl=21 i lp=650</v>
      </c>
      <c r="AA73" s="27" t="str">
        <f t="shared" si="18"/>
        <v>rokwzgl=22 i lp=650</v>
      </c>
      <c r="AB73" s="27" t="str">
        <f t="shared" si="18"/>
        <v>rokwzgl=23 i lp=650</v>
      </c>
      <c r="AC73" s="27" t="str">
        <f t="shared" si="18"/>
        <v>rokwzgl=24 i lp=650</v>
      </c>
      <c r="AD73" s="27" t="str">
        <f t="shared" si="18"/>
        <v>rokwzgl=25 i lp=650</v>
      </c>
      <c r="AE73" s="27" t="str">
        <f t="shared" si="18"/>
        <v>rokwzgl=26 i lp=650</v>
      </c>
      <c r="AF73" s="27" t="str">
        <f t="shared" si="18"/>
        <v>rokwzgl=27 i lp=650</v>
      </c>
      <c r="AG73" s="27" t="str">
        <f t="shared" si="18"/>
        <v>rokwzgl=28 i lp=650</v>
      </c>
      <c r="AH73" s="27" t="str">
        <f t="shared" si="18"/>
        <v>rokwzgl=29 i lp=650</v>
      </c>
    </row>
    <row r="74" spans="1:34">
      <c r="A74" s="26">
        <v>660</v>
      </c>
      <c r="B74" s="26">
        <v>12</v>
      </c>
      <c r="C74" s="27" t="s">
        <v>97</v>
      </c>
      <c r="D74" s="27" t="str">
        <f t="shared" si="16"/>
        <v>rokwzgl=0 i lp=660</v>
      </c>
      <c r="E74" s="27" t="str">
        <f t="shared" si="16"/>
        <v>rokwzgl=0 i lp=660</v>
      </c>
      <c r="F74" s="27" t="str">
        <f t="shared" si="16"/>
        <v>rokwzgl=1 i lp=660</v>
      </c>
      <c r="G74" s="27" t="str">
        <f t="shared" si="16"/>
        <v>rokwzgl=2 i lp=660</v>
      </c>
      <c r="H74" s="27" t="str">
        <f t="shared" si="16"/>
        <v>rokwzgl=3 i lp=660</v>
      </c>
      <c r="I74" s="27" t="str">
        <f t="shared" si="16"/>
        <v>rokwzgl=4 i lp=660</v>
      </c>
      <c r="J74" s="27" t="str">
        <f t="shared" si="16"/>
        <v>rokwzgl=5 i lp=660</v>
      </c>
      <c r="K74" s="27" t="str">
        <f t="shared" si="16"/>
        <v>rokwzgl=6 i lp=660</v>
      </c>
      <c r="L74" s="27" t="str">
        <f t="shared" si="16"/>
        <v>rokwzgl=7 i lp=660</v>
      </c>
      <c r="M74" s="27" t="str">
        <f t="shared" si="16"/>
        <v>rokwzgl=8 i lp=660</v>
      </c>
      <c r="N74" s="27" t="str">
        <f t="shared" si="17"/>
        <v>rokwzgl=9 i lp=660</v>
      </c>
      <c r="O74" s="27" t="str">
        <f t="shared" si="17"/>
        <v>rokwzgl=10 i lp=660</v>
      </c>
      <c r="P74" s="27" t="str">
        <f t="shared" si="17"/>
        <v>rokwzgl=11 i lp=660</v>
      </c>
      <c r="Q74" s="27" t="str">
        <f t="shared" si="17"/>
        <v>rokwzgl=12 i lp=660</v>
      </c>
      <c r="R74" s="27" t="str">
        <f t="shared" si="17"/>
        <v>rokwzgl=13 i lp=660</v>
      </c>
      <c r="S74" s="27" t="str">
        <f t="shared" si="17"/>
        <v>rokwzgl=14 i lp=660</v>
      </c>
      <c r="T74" s="27" t="str">
        <f t="shared" si="17"/>
        <v>rokwzgl=15 i lp=660</v>
      </c>
      <c r="U74" s="27" t="str">
        <f t="shared" si="17"/>
        <v>rokwzgl=16 i lp=660</v>
      </c>
      <c r="V74" s="27" t="str">
        <f t="shared" si="17"/>
        <v>rokwzgl=17 i lp=660</v>
      </c>
      <c r="W74" s="27" t="str">
        <f t="shared" si="17"/>
        <v>rokwzgl=18 i lp=660</v>
      </c>
      <c r="X74" s="27" t="str">
        <f t="shared" si="18"/>
        <v>rokwzgl=19 i lp=660</v>
      </c>
      <c r="Y74" s="27" t="str">
        <f t="shared" si="18"/>
        <v>rokwzgl=20 i lp=660</v>
      </c>
      <c r="Z74" s="27" t="str">
        <f t="shared" si="18"/>
        <v>rokwzgl=21 i lp=660</v>
      </c>
      <c r="AA74" s="27" t="str">
        <f t="shared" si="18"/>
        <v>rokwzgl=22 i lp=660</v>
      </c>
      <c r="AB74" s="27" t="str">
        <f t="shared" si="18"/>
        <v>rokwzgl=23 i lp=660</v>
      </c>
      <c r="AC74" s="27" t="str">
        <f t="shared" si="18"/>
        <v>rokwzgl=24 i lp=660</v>
      </c>
      <c r="AD74" s="27" t="str">
        <f t="shared" si="18"/>
        <v>rokwzgl=25 i lp=660</v>
      </c>
      <c r="AE74" s="27" t="str">
        <f t="shared" si="18"/>
        <v>rokwzgl=26 i lp=660</v>
      </c>
      <c r="AF74" s="27" t="str">
        <f t="shared" si="18"/>
        <v>rokwzgl=27 i lp=660</v>
      </c>
      <c r="AG74" s="27" t="str">
        <f t="shared" si="18"/>
        <v>rokwzgl=28 i lp=660</v>
      </c>
      <c r="AH74" s="27" t="str">
        <f t="shared" si="18"/>
        <v>rokwzgl=29 i lp=660</v>
      </c>
    </row>
    <row r="75" spans="1:34">
      <c r="A75" s="26">
        <v>670</v>
      </c>
      <c r="B75" s="26" t="s">
        <v>164</v>
      </c>
      <c r="C75" s="27" t="s">
        <v>98</v>
      </c>
      <c r="D75" s="27" t="str">
        <f t="shared" si="16"/>
        <v>rokwzgl=0 i lp=670</v>
      </c>
      <c r="E75" s="27" t="str">
        <f t="shared" si="16"/>
        <v>rokwzgl=0 i lp=670</v>
      </c>
      <c r="F75" s="27" t="str">
        <f t="shared" si="16"/>
        <v>rokwzgl=1 i lp=670</v>
      </c>
      <c r="G75" s="27" t="str">
        <f t="shared" si="16"/>
        <v>rokwzgl=2 i lp=670</v>
      </c>
      <c r="H75" s="27" t="str">
        <f t="shared" si="16"/>
        <v>rokwzgl=3 i lp=670</v>
      </c>
      <c r="I75" s="27" t="str">
        <f t="shared" si="16"/>
        <v>rokwzgl=4 i lp=670</v>
      </c>
      <c r="J75" s="27" t="str">
        <f t="shared" si="16"/>
        <v>rokwzgl=5 i lp=670</v>
      </c>
      <c r="K75" s="27" t="str">
        <f t="shared" si="16"/>
        <v>rokwzgl=6 i lp=670</v>
      </c>
      <c r="L75" s="27" t="str">
        <f t="shared" si="16"/>
        <v>rokwzgl=7 i lp=670</v>
      </c>
      <c r="M75" s="27" t="str">
        <f t="shared" si="16"/>
        <v>rokwzgl=8 i lp=670</v>
      </c>
      <c r="N75" s="27" t="str">
        <f t="shared" si="17"/>
        <v>rokwzgl=9 i lp=670</v>
      </c>
      <c r="O75" s="27" t="str">
        <f t="shared" si="17"/>
        <v>rokwzgl=10 i lp=670</v>
      </c>
      <c r="P75" s="27" t="str">
        <f t="shared" si="17"/>
        <v>rokwzgl=11 i lp=670</v>
      </c>
      <c r="Q75" s="27" t="str">
        <f t="shared" si="17"/>
        <v>rokwzgl=12 i lp=670</v>
      </c>
      <c r="R75" s="27" t="str">
        <f t="shared" si="17"/>
        <v>rokwzgl=13 i lp=670</v>
      </c>
      <c r="S75" s="27" t="str">
        <f t="shared" si="17"/>
        <v>rokwzgl=14 i lp=670</v>
      </c>
      <c r="T75" s="27" t="str">
        <f t="shared" si="17"/>
        <v>rokwzgl=15 i lp=670</v>
      </c>
      <c r="U75" s="27" t="str">
        <f t="shared" si="17"/>
        <v>rokwzgl=16 i lp=670</v>
      </c>
      <c r="V75" s="27" t="str">
        <f t="shared" si="17"/>
        <v>rokwzgl=17 i lp=670</v>
      </c>
      <c r="W75" s="27" t="str">
        <f t="shared" si="17"/>
        <v>rokwzgl=18 i lp=670</v>
      </c>
      <c r="X75" s="27" t="str">
        <f t="shared" si="18"/>
        <v>rokwzgl=19 i lp=670</v>
      </c>
      <c r="Y75" s="27" t="str">
        <f t="shared" si="18"/>
        <v>rokwzgl=20 i lp=670</v>
      </c>
      <c r="Z75" s="27" t="str">
        <f t="shared" si="18"/>
        <v>rokwzgl=21 i lp=670</v>
      </c>
      <c r="AA75" s="27" t="str">
        <f t="shared" si="18"/>
        <v>rokwzgl=22 i lp=670</v>
      </c>
      <c r="AB75" s="27" t="str">
        <f t="shared" si="18"/>
        <v>rokwzgl=23 i lp=670</v>
      </c>
      <c r="AC75" s="27" t="str">
        <f t="shared" si="18"/>
        <v>rokwzgl=24 i lp=670</v>
      </c>
      <c r="AD75" s="27" t="str">
        <f t="shared" si="18"/>
        <v>rokwzgl=25 i lp=670</v>
      </c>
      <c r="AE75" s="27" t="str">
        <f t="shared" si="18"/>
        <v>rokwzgl=26 i lp=670</v>
      </c>
      <c r="AF75" s="27" t="str">
        <f t="shared" si="18"/>
        <v>rokwzgl=27 i lp=670</v>
      </c>
      <c r="AG75" s="27" t="str">
        <f t="shared" si="18"/>
        <v>rokwzgl=28 i lp=670</v>
      </c>
      <c r="AH75" s="27" t="str">
        <f t="shared" si="18"/>
        <v>rokwzgl=29 i lp=670</v>
      </c>
    </row>
    <row r="76" spans="1:34">
      <c r="A76" s="26">
        <v>680</v>
      </c>
      <c r="B76" s="26" t="s">
        <v>99</v>
      </c>
      <c r="C76" s="27" t="s">
        <v>100</v>
      </c>
      <c r="D76" s="27" t="str">
        <f t="shared" ref="D76:AG76" si="19">+"rokwzgl="&amp;D$9&amp;" i lp="&amp;$A76</f>
        <v>rokwzgl=0 i lp=680</v>
      </c>
      <c r="E76" s="27" t="str">
        <f t="shared" si="19"/>
        <v>rokwzgl=0 i lp=680</v>
      </c>
      <c r="F76" s="27" t="str">
        <f t="shared" si="19"/>
        <v>rokwzgl=1 i lp=680</v>
      </c>
      <c r="G76" s="27" t="str">
        <f t="shared" si="19"/>
        <v>rokwzgl=2 i lp=680</v>
      </c>
      <c r="H76" s="27" t="str">
        <f t="shared" si="19"/>
        <v>rokwzgl=3 i lp=680</v>
      </c>
      <c r="I76" s="27" t="str">
        <f t="shared" si="19"/>
        <v>rokwzgl=4 i lp=680</v>
      </c>
      <c r="J76" s="27" t="str">
        <f t="shared" si="19"/>
        <v>rokwzgl=5 i lp=680</v>
      </c>
      <c r="K76" s="27" t="str">
        <f t="shared" si="19"/>
        <v>rokwzgl=6 i lp=680</v>
      </c>
      <c r="L76" s="27" t="str">
        <f t="shared" si="19"/>
        <v>rokwzgl=7 i lp=680</v>
      </c>
      <c r="M76" s="27" t="str">
        <f t="shared" si="19"/>
        <v>rokwzgl=8 i lp=680</v>
      </c>
      <c r="N76" s="27" t="str">
        <f t="shared" si="19"/>
        <v>rokwzgl=9 i lp=680</v>
      </c>
      <c r="O76" s="27" t="str">
        <f t="shared" si="19"/>
        <v>rokwzgl=10 i lp=680</v>
      </c>
      <c r="P76" s="27" t="str">
        <f t="shared" si="19"/>
        <v>rokwzgl=11 i lp=680</v>
      </c>
      <c r="Q76" s="27" t="str">
        <f t="shared" si="19"/>
        <v>rokwzgl=12 i lp=680</v>
      </c>
      <c r="R76" s="27" t="str">
        <f t="shared" si="19"/>
        <v>rokwzgl=13 i lp=680</v>
      </c>
      <c r="S76" s="27" t="str">
        <f t="shared" si="19"/>
        <v>rokwzgl=14 i lp=680</v>
      </c>
      <c r="T76" s="27" t="str">
        <f t="shared" si="19"/>
        <v>rokwzgl=15 i lp=680</v>
      </c>
      <c r="U76" s="27" t="str">
        <f t="shared" si="19"/>
        <v>rokwzgl=16 i lp=680</v>
      </c>
      <c r="V76" s="27" t="str">
        <f t="shared" si="19"/>
        <v>rokwzgl=17 i lp=680</v>
      </c>
      <c r="W76" s="27" t="str">
        <f t="shared" si="19"/>
        <v>rokwzgl=18 i lp=680</v>
      </c>
      <c r="X76" s="27" t="str">
        <f t="shared" si="19"/>
        <v>rokwzgl=19 i lp=680</v>
      </c>
      <c r="Y76" s="27" t="str">
        <f t="shared" si="19"/>
        <v>rokwzgl=20 i lp=680</v>
      </c>
      <c r="Z76" s="27" t="str">
        <f t="shared" si="19"/>
        <v>rokwzgl=21 i lp=680</v>
      </c>
      <c r="AA76" s="27" t="str">
        <f t="shared" si="19"/>
        <v>rokwzgl=22 i lp=680</v>
      </c>
      <c r="AB76" s="27" t="str">
        <f t="shared" si="19"/>
        <v>rokwzgl=23 i lp=680</v>
      </c>
      <c r="AC76" s="27" t="str">
        <f t="shared" si="19"/>
        <v>rokwzgl=24 i lp=680</v>
      </c>
      <c r="AD76" s="27" t="str">
        <f t="shared" si="19"/>
        <v>rokwzgl=25 i lp=680</v>
      </c>
      <c r="AE76" s="27" t="str">
        <f t="shared" si="19"/>
        <v>rokwzgl=26 i lp=680</v>
      </c>
      <c r="AF76" s="27" t="str">
        <f t="shared" si="19"/>
        <v>rokwzgl=27 i lp=680</v>
      </c>
      <c r="AG76" s="27" t="str">
        <f t="shared" si="19"/>
        <v>rokwzgl=28 i lp=680</v>
      </c>
      <c r="AH76" s="27" t="str">
        <f t="shared" ref="X76:AH100" si="20">+"rokwzgl="&amp;AH$9&amp;" i lp="&amp;$A76</f>
        <v>rokwzgl=29 i lp=680</v>
      </c>
    </row>
    <row r="77" spans="1:34">
      <c r="A77" s="26">
        <v>690</v>
      </c>
      <c r="B77" s="26" t="s">
        <v>101</v>
      </c>
      <c r="C77" s="27" t="s">
        <v>102</v>
      </c>
      <c r="D77" s="27" t="str">
        <f>+"rokwzgl="&amp;D$9&amp;" i lp="&amp;$A77</f>
        <v>rokwzgl=0 i lp=690</v>
      </c>
      <c r="E77" s="27" t="str">
        <f>+"rokwzgl="&amp;E$9&amp;" i lp="&amp;$A77</f>
        <v>rokwzgl=0 i lp=690</v>
      </c>
      <c r="F77" s="27" t="str">
        <f>+"rokwzgl="&amp;F$9&amp;" i lp="&amp;$A77</f>
        <v>rokwzgl=1 i lp=690</v>
      </c>
      <c r="G77" s="27" t="str">
        <f>+"rokwzgl="&amp;G$9&amp;" i lp="&amp;$A77</f>
        <v>rokwzgl=2 i lp=690</v>
      </c>
      <c r="H77" s="27" t="str">
        <f>+"rokwzgl="&amp;H$9&amp;" i lp="&amp;$A77</f>
        <v>rokwzgl=3 i lp=690</v>
      </c>
      <c r="I77" s="27" t="str">
        <f t="shared" ref="I77:W101" si="21">+"rokwzgl="&amp;I$9&amp;" i lp="&amp;$A77</f>
        <v>rokwzgl=4 i lp=690</v>
      </c>
      <c r="J77" s="27" t="str">
        <f t="shared" si="21"/>
        <v>rokwzgl=5 i lp=690</v>
      </c>
      <c r="K77" s="27" t="str">
        <f t="shared" si="21"/>
        <v>rokwzgl=6 i lp=690</v>
      </c>
      <c r="L77" s="27" t="str">
        <f t="shared" si="21"/>
        <v>rokwzgl=7 i lp=690</v>
      </c>
      <c r="M77" s="27" t="str">
        <f t="shared" si="21"/>
        <v>rokwzgl=8 i lp=690</v>
      </c>
      <c r="N77" s="27" t="str">
        <f t="shared" si="21"/>
        <v>rokwzgl=9 i lp=690</v>
      </c>
      <c r="O77" s="27" t="str">
        <f t="shared" si="21"/>
        <v>rokwzgl=10 i lp=690</v>
      </c>
      <c r="P77" s="27" t="str">
        <f t="shared" si="21"/>
        <v>rokwzgl=11 i lp=690</v>
      </c>
      <c r="Q77" s="27" t="str">
        <f t="shared" si="21"/>
        <v>rokwzgl=12 i lp=690</v>
      </c>
      <c r="R77" s="27" t="str">
        <f t="shared" si="21"/>
        <v>rokwzgl=13 i lp=690</v>
      </c>
      <c r="S77" s="27" t="str">
        <f t="shared" si="21"/>
        <v>rokwzgl=14 i lp=690</v>
      </c>
      <c r="T77" s="27" t="str">
        <f t="shared" si="21"/>
        <v>rokwzgl=15 i lp=690</v>
      </c>
      <c r="U77" s="27" t="str">
        <f t="shared" si="21"/>
        <v>rokwzgl=16 i lp=690</v>
      </c>
      <c r="V77" s="27" t="str">
        <f t="shared" si="21"/>
        <v>rokwzgl=17 i lp=690</v>
      </c>
      <c r="W77" s="27" t="str">
        <f t="shared" si="21"/>
        <v>rokwzgl=18 i lp=690</v>
      </c>
      <c r="X77" s="27" t="str">
        <f t="shared" si="20"/>
        <v>rokwzgl=19 i lp=690</v>
      </c>
      <c r="Y77" s="27" t="str">
        <f t="shared" si="20"/>
        <v>rokwzgl=20 i lp=690</v>
      </c>
      <c r="Z77" s="27" t="str">
        <f t="shared" si="20"/>
        <v>rokwzgl=21 i lp=690</v>
      </c>
      <c r="AA77" s="27" t="str">
        <f t="shared" si="20"/>
        <v>rokwzgl=22 i lp=690</v>
      </c>
      <c r="AB77" s="27" t="str">
        <f t="shared" si="20"/>
        <v>rokwzgl=23 i lp=690</v>
      </c>
      <c r="AC77" s="27" t="str">
        <f t="shared" si="20"/>
        <v>rokwzgl=24 i lp=690</v>
      </c>
      <c r="AD77" s="27" t="str">
        <f t="shared" si="20"/>
        <v>rokwzgl=25 i lp=690</v>
      </c>
      <c r="AE77" s="27" t="str">
        <f t="shared" si="20"/>
        <v>rokwzgl=26 i lp=690</v>
      </c>
      <c r="AF77" s="27" t="str">
        <f t="shared" si="20"/>
        <v>rokwzgl=27 i lp=690</v>
      </c>
      <c r="AG77" s="27" t="str">
        <f t="shared" si="20"/>
        <v>rokwzgl=28 i lp=690</v>
      </c>
      <c r="AH77" s="27" t="str">
        <f t="shared" si="20"/>
        <v>rokwzgl=29 i lp=690</v>
      </c>
    </row>
    <row r="78" spans="1:34">
      <c r="A78" s="26">
        <v>700</v>
      </c>
      <c r="B78" s="26" t="s">
        <v>165</v>
      </c>
      <c r="C78" s="27" t="s">
        <v>103</v>
      </c>
      <c r="D78" s="27" t="str">
        <f t="shared" ref="D78:R102" si="22">+"rokwzgl="&amp;D$9&amp;" i lp="&amp;$A78</f>
        <v>rokwzgl=0 i lp=700</v>
      </c>
      <c r="E78" s="27" t="str">
        <f t="shared" si="22"/>
        <v>rokwzgl=0 i lp=700</v>
      </c>
      <c r="F78" s="27" t="str">
        <f t="shared" si="22"/>
        <v>rokwzgl=1 i lp=700</v>
      </c>
      <c r="G78" s="27" t="str">
        <f t="shared" si="22"/>
        <v>rokwzgl=2 i lp=700</v>
      </c>
      <c r="H78" s="27" t="str">
        <f t="shared" si="22"/>
        <v>rokwzgl=3 i lp=700</v>
      </c>
      <c r="I78" s="27" t="str">
        <f t="shared" si="22"/>
        <v>rokwzgl=4 i lp=700</v>
      </c>
      <c r="J78" s="27" t="str">
        <f t="shared" si="22"/>
        <v>rokwzgl=5 i lp=700</v>
      </c>
      <c r="K78" s="27" t="str">
        <f t="shared" si="22"/>
        <v>rokwzgl=6 i lp=700</v>
      </c>
      <c r="L78" s="27" t="str">
        <f t="shared" si="22"/>
        <v>rokwzgl=7 i lp=700</v>
      </c>
      <c r="M78" s="27" t="str">
        <f t="shared" si="22"/>
        <v>rokwzgl=8 i lp=700</v>
      </c>
      <c r="N78" s="27" t="str">
        <f t="shared" si="21"/>
        <v>rokwzgl=9 i lp=700</v>
      </c>
      <c r="O78" s="27" t="str">
        <f t="shared" si="21"/>
        <v>rokwzgl=10 i lp=700</v>
      </c>
      <c r="P78" s="27" t="str">
        <f t="shared" si="21"/>
        <v>rokwzgl=11 i lp=700</v>
      </c>
      <c r="Q78" s="27" t="str">
        <f t="shared" si="21"/>
        <v>rokwzgl=12 i lp=700</v>
      </c>
      <c r="R78" s="27" t="str">
        <f t="shared" si="21"/>
        <v>rokwzgl=13 i lp=700</v>
      </c>
      <c r="S78" s="27" t="str">
        <f t="shared" si="21"/>
        <v>rokwzgl=14 i lp=700</v>
      </c>
      <c r="T78" s="27" t="str">
        <f t="shared" si="21"/>
        <v>rokwzgl=15 i lp=700</v>
      </c>
      <c r="U78" s="27" t="str">
        <f t="shared" si="21"/>
        <v>rokwzgl=16 i lp=700</v>
      </c>
      <c r="V78" s="27" t="str">
        <f t="shared" si="21"/>
        <v>rokwzgl=17 i lp=700</v>
      </c>
      <c r="W78" s="27" t="str">
        <f t="shared" si="21"/>
        <v>rokwzgl=18 i lp=700</v>
      </c>
      <c r="X78" s="27" t="str">
        <f t="shared" si="20"/>
        <v>rokwzgl=19 i lp=700</v>
      </c>
      <c r="Y78" s="27" t="str">
        <f t="shared" si="20"/>
        <v>rokwzgl=20 i lp=700</v>
      </c>
      <c r="Z78" s="27" t="str">
        <f t="shared" si="20"/>
        <v>rokwzgl=21 i lp=700</v>
      </c>
      <c r="AA78" s="27" t="str">
        <f t="shared" si="20"/>
        <v>rokwzgl=22 i lp=700</v>
      </c>
      <c r="AB78" s="27" t="str">
        <f t="shared" si="20"/>
        <v>rokwzgl=23 i lp=700</v>
      </c>
      <c r="AC78" s="27" t="str">
        <f t="shared" si="20"/>
        <v>rokwzgl=24 i lp=700</v>
      </c>
      <c r="AD78" s="27" t="str">
        <f t="shared" si="20"/>
        <v>rokwzgl=25 i lp=700</v>
      </c>
      <c r="AE78" s="27" t="str">
        <f t="shared" si="20"/>
        <v>rokwzgl=26 i lp=700</v>
      </c>
      <c r="AF78" s="27" t="str">
        <f t="shared" si="20"/>
        <v>rokwzgl=27 i lp=700</v>
      </c>
      <c r="AG78" s="27" t="str">
        <f t="shared" si="20"/>
        <v>rokwzgl=28 i lp=700</v>
      </c>
      <c r="AH78" s="27" t="str">
        <f t="shared" si="20"/>
        <v>rokwzgl=29 i lp=700</v>
      </c>
    </row>
    <row r="79" spans="1:34">
      <c r="A79" s="26">
        <v>710</v>
      </c>
      <c r="B79" s="26" t="s">
        <v>104</v>
      </c>
      <c r="C79" s="27" t="s">
        <v>105</v>
      </c>
      <c r="D79" s="27" t="str">
        <f t="shared" si="22"/>
        <v>rokwzgl=0 i lp=710</v>
      </c>
      <c r="E79" s="27" t="str">
        <f t="shared" si="22"/>
        <v>rokwzgl=0 i lp=710</v>
      </c>
      <c r="F79" s="27" t="str">
        <f t="shared" si="22"/>
        <v>rokwzgl=1 i lp=710</v>
      </c>
      <c r="G79" s="27" t="str">
        <f t="shared" si="22"/>
        <v>rokwzgl=2 i lp=710</v>
      </c>
      <c r="H79" s="27" t="str">
        <f t="shared" si="22"/>
        <v>rokwzgl=3 i lp=710</v>
      </c>
      <c r="I79" s="27" t="str">
        <f t="shared" si="22"/>
        <v>rokwzgl=4 i lp=710</v>
      </c>
      <c r="J79" s="27" t="str">
        <f t="shared" si="22"/>
        <v>rokwzgl=5 i lp=710</v>
      </c>
      <c r="K79" s="27" t="str">
        <f t="shared" si="22"/>
        <v>rokwzgl=6 i lp=710</v>
      </c>
      <c r="L79" s="27" t="str">
        <f t="shared" si="22"/>
        <v>rokwzgl=7 i lp=710</v>
      </c>
      <c r="M79" s="27" t="str">
        <f t="shared" si="22"/>
        <v>rokwzgl=8 i lp=710</v>
      </c>
      <c r="N79" s="27" t="str">
        <f t="shared" si="21"/>
        <v>rokwzgl=9 i lp=710</v>
      </c>
      <c r="O79" s="27" t="str">
        <f t="shared" si="21"/>
        <v>rokwzgl=10 i lp=710</v>
      </c>
      <c r="P79" s="27" t="str">
        <f t="shared" si="21"/>
        <v>rokwzgl=11 i lp=710</v>
      </c>
      <c r="Q79" s="27" t="str">
        <f t="shared" si="21"/>
        <v>rokwzgl=12 i lp=710</v>
      </c>
      <c r="R79" s="27" t="str">
        <f t="shared" si="21"/>
        <v>rokwzgl=13 i lp=710</v>
      </c>
      <c r="S79" s="27" t="str">
        <f t="shared" si="21"/>
        <v>rokwzgl=14 i lp=710</v>
      </c>
      <c r="T79" s="27" t="str">
        <f t="shared" si="21"/>
        <v>rokwzgl=15 i lp=710</v>
      </c>
      <c r="U79" s="27" t="str">
        <f t="shared" si="21"/>
        <v>rokwzgl=16 i lp=710</v>
      </c>
      <c r="V79" s="27" t="str">
        <f t="shared" si="21"/>
        <v>rokwzgl=17 i lp=710</v>
      </c>
      <c r="W79" s="27" t="str">
        <f t="shared" si="21"/>
        <v>rokwzgl=18 i lp=710</v>
      </c>
      <c r="X79" s="27" t="str">
        <f t="shared" si="20"/>
        <v>rokwzgl=19 i lp=710</v>
      </c>
      <c r="Y79" s="27" t="str">
        <f t="shared" si="20"/>
        <v>rokwzgl=20 i lp=710</v>
      </c>
      <c r="Z79" s="27" t="str">
        <f t="shared" si="20"/>
        <v>rokwzgl=21 i lp=710</v>
      </c>
      <c r="AA79" s="27" t="str">
        <f t="shared" si="20"/>
        <v>rokwzgl=22 i lp=710</v>
      </c>
      <c r="AB79" s="27" t="str">
        <f t="shared" si="20"/>
        <v>rokwzgl=23 i lp=710</v>
      </c>
      <c r="AC79" s="27" t="str">
        <f t="shared" si="20"/>
        <v>rokwzgl=24 i lp=710</v>
      </c>
      <c r="AD79" s="27" t="str">
        <f t="shared" si="20"/>
        <v>rokwzgl=25 i lp=710</v>
      </c>
      <c r="AE79" s="27" t="str">
        <f t="shared" si="20"/>
        <v>rokwzgl=26 i lp=710</v>
      </c>
      <c r="AF79" s="27" t="str">
        <f t="shared" si="20"/>
        <v>rokwzgl=27 i lp=710</v>
      </c>
      <c r="AG79" s="27" t="str">
        <f t="shared" si="20"/>
        <v>rokwzgl=28 i lp=710</v>
      </c>
      <c r="AH79" s="27" t="str">
        <f t="shared" si="20"/>
        <v>rokwzgl=29 i lp=710</v>
      </c>
    </row>
    <row r="80" spans="1:34">
      <c r="A80" s="26">
        <v>720</v>
      </c>
      <c r="B80" s="26" t="s">
        <v>106</v>
      </c>
      <c r="C80" s="27" t="s">
        <v>107</v>
      </c>
      <c r="D80" s="27" t="str">
        <f t="shared" si="22"/>
        <v>rokwzgl=0 i lp=720</v>
      </c>
      <c r="E80" s="27" t="str">
        <f t="shared" si="22"/>
        <v>rokwzgl=0 i lp=720</v>
      </c>
      <c r="F80" s="27" t="str">
        <f t="shared" si="22"/>
        <v>rokwzgl=1 i lp=720</v>
      </c>
      <c r="G80" s="27" t="str">
        <f t="shared" si="22"/>
        <v>rokwzgl=2 i lp=720</v>
      </c>
      <c r="H80" s="27" t="str">
        <f t="shared" si="22"/>
        <v>rokwzgl=3 i lp=720</v>
      </c>
      <c r="I80" s="27" t="str">
        <f t="shared" si="22"/>
        <v>rokwzgl=4 i lp=720</v>
      </c>
      <c r="J80" s="27" t="str">
        <f t="shared" si="22"/>
        <v>rokwzgl=5 i lp=720</v>
      </c>
      <c r="K80" s="27" t="str">
        <f t="shared" si="22"/>
        <v>rokwzgl=6 i lp=720</v>
      </c>
      <c r="L80" s="27" t="str">
        <f t="shared" si="22"/>
        <v>rokwzgl=7 i lp=720</v>
      </c>
      <c r="M80" s="27" t="str">
        <f t="shared" si="22"/>
        <v>rokwzgl=8 i lp=720</v>
      </c>
      <c r="N80" s="27" t="str">
        <f t="shared" si="21"/>
        <v>rokwzgl=9 i lp=720</v>
      </c>
      <c r="O80" s="27" t="str">
        <f t="shared" si="21"/>
        <v>rokwzgl=10 i lp=720</v>
      </c>
      <c r="P80" s="27" t="str">
        <f t="shared" si="21"/>
        <v>rokwzgl=11 i lp=720</v>
      </c>
      <c r="Q80" s="27" t="str">
        <f t="shared" si="21"/>
        <v>rokwzgl=12 i lp=720</v>
      </c>
      <c r="R80" s="27" t="str">
        <f t="shared" si="21"/>
        <v>rokwzgl=13 i lp=720</v>
      </c>
      <c r="S80" s="27" t="str">
        <f t="shared" si="21"/>
        <v>rokwzgl=14 i lp=720</v>
      </c>
      <c r="T80" s="27" t="str">
        <f t="shared" si="21"/>
        <v>rokwzgl=15 i lp=720</v>
      </c>
      <c r="U80" s="27" t="str">
        <f t="shared" si="21"/>
        <v>rokwzgl=16 i lp=720</v>
      </c>
      <c r="V80" s="27" t="str">
        <f t="shared" si="21"/>
        <v>rokwzgl=17 i lp=720</v>
      </c>
      <c r="W80" s="27" t="str">
        <f t="shared" si="21"/>
        <v>rokwzgl=18 i lp=720</v>
      </c>
      <c r="X80" s="27" t="str">
        <f t="shared" si="20"/>
        <v>rokwzgl=19 i lp=720</v>
      </c>
      <c r="Y80" s="27" t="str">
        <f t="shared" si="20"/>
        <v>rokwzgl=20 i lp=720</v>
      </c>
      <c r="Z80" s="27" t="str">
        <f t="shared" si="20"/>
        <v>rokwzgl=21 i lp=720</v>
      </c>
      <c r="AA80" s="27" t="str">
        <f t="shared" si="20"/>
        <v>rokwzgl=22 i lp=720</v>
      </c>
      <c r="AB80" s="27" t="str">
        <f t="shared" si="20"/>
        <v>rokwzgl=23 i lp=720</v>
      </c>
      <c r="AC80" s="27" t="str">
        <f t="shared" si="20"/>
        <v>rokwzgl=24 i lp=720</v>
      </c>
      <c r="AD80" s="27" t="str">
        <f t="shared" si="20"/>
        <v>rokwzgl=25 i lp=720</v>
      </c>
      <c r="AE80" s="27" t="str">
        <f t="shared" si="20"/>
        <v>rokwzgl=26 i lp=720</v>
      </c>
      <c r="AF80" s="27" t="str">
        <f t="shared" si="20"/>
        <v>rokwzgl=27 i lp=720</v>
      </c>
      <c r="AG80" s="27" t="str">
        <f t="shared" si="20"/>
        <v>rokwzgl=28 i lp=720</v>
      </c>
      <c r="AH80" s="27" t="str">
        <f t="shared" si="20"/>
        <v>rokwzgl=29 i lp=720</v>
      </c>
    </row>
    <row r="81" spans="1:34">
      <c r="A81" s="26">
        <v>730</v>
      </c>
      <c r="B81" s="26" t="s">
        <v>166</v>
      </c>
      <c r="C81" s="27" t="s">
        <v>108</v>
      </c>
      <c r="D81" s="27" t="str">
        <f t="shared" si="22"/>
        <v>rokwzgl=0 i lp=730</v>
      </c>
      <c r="E81" s="27" t="str">
        <f t="shared" si="22"/>
        <v>rokwzgl=0 i lp=730</v>
      </c>
      <c r="F81" s="27" t="str">
        <f t="shared" si="22"/>
        <v>rokwzgl=1 i lp=730</v>
      </c>
      <c r="G81" s="27" t="str">
        <f t="shared" si="22"/>
        <v>rokwzgl=2 i lp=730</v>
      </c>
      <c r="H81" s="27" t="str">
        <f t="shared" si="22"/>
        <v>rokwzgl=3 i lp=730</v>
      </c>
      <c r="I81" s="27" t="str">
        <f t="shared" si="22"/>
        <v>rokwzgl=4 i lp=730</v>
      </c>
      <c r="J81" s="27" t="str">
        <f t="shared" si="22"/>
        <v>rokwzgl=5 i lp=730</v>
      </c>
      <c r="K81" s="27" t="str">
        <f t="shared" si="22"/>
        <v>rokwzgl=6 i lp=730</v>
      </c>
      <c r="L81" s="27" t="str">
        <f t="shared" si="22"/>
        <v>rokwzgl=7 i lp=730</v>
      </c>
      <c r="M81" s="27" t="str">
        <f t="shared" si="22"/>
        <v>rokwzgl=8 i lp=730</v>
      </c>
      <c r="N81" s="27" t="str">
        <f t="shared" si="21"/>
        <v>rokwzgl=9 i lp=730</v>
      </c>
      <c r="O81" s="27" t="str">
        <f t="shared" si="21"/>
        <v>rokwzgl=10 i lp=730</v>
      </c>
      <c r="P81" s="27" t="str">
        <f t="shared" si="21"/>
        <v>rokwzgl=11 i lp=730</v>
      </c>
      <c r="Q81" s="27" t="str">
        <f t="shared" si="21"/>
        <v>rokwzgl=12 i lp=730</v>
      </c>
      <c r="R81" s="27" t="str">
        <f t="shared" si="21"/>
        <v>rokwzgl=13 i lp=730</v>
      </c>
      <c r="S81" s="27" t="str">
        <f t="shared" si="21"/>
        <v>rokwzgl=14 i lp=730</v>
      </c>
      <c r="T81" s="27" t="str">
        <f t="shared" si="21"/>
        <v>rokwzgl=15 i lp=730</v>
      </c>
      <c r="U81" s="27" t="str">
        <f t="shared" si="21"/>
        <v>rokwzgl=16 i lp=730</v>
      </c>
      <c r="V81" s="27" t="str">
        <f t="shared" si="21"/>
        <v>rokwzgl=17 i lp=730</v>
      </c>
      <c r="W81" s="27" t="str">
        <f t="shared" si="21"/>
        <v>rokwzgl=18 i lp=730</v>
      </c>
      <c r="X81" s="27" t="str">
        <f t="shared" si="20"/>
        <v>rokwzgl=19 i lp=730</v>
      </c>
      <c r="Y81" s="27" t="str">
        <f t="shared" si="20"/>
        <v>rokwzgl=20 i lp=730</v>
      </c>
      <c r="Z81" s="27" t="str">
        <f t="shared" si="20"/>
        <v>rokwzgl=21 i lp=730</v>
      </c>
      <c r="AA81" s="27" t="str">
        <f t="shared" si="20"/>
        <v>rokwzgl=22 i lp=730</v>
      </c>
      <c r="AB81" s="27" t="str">
        <f t="shared" si="20"/>
        <v>rokwzgl=23 i lp=730</v>
      </c>
      <c r="AC81" s="27" t="str">
        <f t="shared" si="20"/>
        <v>rokwzgl=24 i lp=730</v>
      </c>
      <c r="AD81" s="27" t="str">
        <f t="shared" si="20"/>
        <v>rokwzgl=25 i lp=730</v>
      </c>
      <c r="AE81" s="27" t="str">
        <f t="shared" si="20"/>
        <v>rokwzgl=26 i lp=730</v>
      </c>
      <c r="AF81" s="27" t="str">
        <f t="shared" si="20"/>
        <v>rokwzgl=27 i lp=730</v>
      </c>
      <c r="AG81" s="27" t="str">
        <f t="shared" si="20"/>
        <v>rokwzgl=28 i lp=730</v>
      </c>
      <c r="AH81" s="27" t="str">
        <f t="shared" si="20"/>
        <v>rokwzgl=29 i lp=730</v>
      </c>
    </row>
    <row r="82" spans="1:34">
      <c r="A82" s="26">
        <v>740</v>
      </c>
      <c r="B82" s="26" t="s">
        <v>109</v>
      </c>
      <c r="C82" s="27" t="s">
        <v>110</v>
      </c>
      <c r="D82" s="27" t="str">
        <f t="shared" si="22"/>
        <v>rokwzgl=0 i lp=740</v>
      </c>
      <c r="E82" s="27" t="str">
        <f t="shared" si="22"/>
        <v>rokwzgl=0 i lp=740</v>
      </c>
      <c r="F82" s="27" t="str">
        <f t="shared" si="22"/>
        <v>rokwzgl=1 i lp=740</v>
      </c>
      <c r="G82" s="27" t="str">
        <f t="shared" si="22"/>
        <v>rokwzgl=2 i lp=740</v>
      </c>
      <c r="H82" s="27" t="str">
        <f t="shared" si="22"/>
        <v>rokwzgl=3 i lp=740</v>
      </c>
      <c r="I82" s="27" t="str">
        <f t="shared" si="22"/>
        <v>rokwzgl=4 i lp=740</v>
      </c>
      <c r="J82" s="27" t="str">
        <f t="shared" si="22"/>
        <v>rokwzgl=5 i lp=740</v>
      </c>
      <c r="K82" s="27" t="str">
        <f t="shared" si="22"/>
        <v>rokwzgl=6 i lp=740</v>
      </c>
      <c r="L82" s="27" t="str">
        <f t="shared" si="22"/>
        <v>rokwzgl=7 i lp=740</v>
      </c>
      <c r="M82" s="27" t="str">
        <f t="shared" si="22"/>
        <v>rokwzgl=8 i lp=740</v>
      </c>
      <c r="N82" s="27" t="str">
        <f t="shared" si="21"/>
        <v>rokwzgl=9 i lp=740</v>
      </c>
      <c r="O82" s="27" t="str">
        <f t="shared" si="21"/>
        <v>rokwzgl=10 i lp=740</v>
      </c>
      <c r="P82" s="27" t="str">
        <f t="shared" si="21"/>
        <v>rokwzgl=11 i lp=740</v>
      </c>
      <c r="Q82" s="27" t="str">
        <f t="shared" si="21"/>
        <v>rokwzgl=12 i lp=740</v>
      </c>
      <c r="R82" s="27" t="str">
        <f t="shared" si="21"/>
        <v>rokwzgl=13 i lp=740</v>
      </c>
      <c r="S82" s="27" t="str">
        <f t="shared" si="21"/>
        <v>rokwzgl=14 i lp=740</v>
      </c>
      <c r="T82" s="27" t="str">
        <f t="shared" si="21"/>
        <v>rokwzgl=15 i lp=740</v>
      </c>
      <c r="U82" s="27" t="str">
        <f t="shared" si="21"/>
        <v>rokwzgl=16 i lp=740</v>
      </c>
      <c r="V82" s="27" t="str">
        <f t="shared" si="21"/>
        <v>rokwzgl=17 i lp=740</v>
      </c>
      <c r="W82" s="27" t="str">
        <f t="shared" si="21"/>
        <v>rokwzgl=18 i lp=740</v>
      </c>
      <c r="X82" s="27" t="str">
        <f t="shared" si="20"/>
        <v>rokwzgl=19 i lp=740</v>
      </c>
      <c r="Y82" s="27" t="str">
        <f t="shared" si="20"/>
        <v>rokwzgl=20 i lp=740</v>
      </c>
      <c r="Z82" s="27" t="str">
        <f t="shared" si="20"/>
        <v>rokwzgl=21 i lp=740</v>
      </c>
      <c r="AA82" s="27" t="str">
        <f t="shared" si="20"/>
        <v>rokwzgl=22 i lp=740</v>
      </c>
      <c r="AB82" s="27" t="str">
        <f t="shared" si="20"/>
        <v>rokwzgl=23 i lp=740</v>
      </c>
      <c r="AC82" s="27" t="str">
        <f t="shared" si="20"/>
        <v>rokwzgl=24 i lp=740</v>
      </c>
      <c r="AD82" s="27" t="str">
        <f t="shared" si="20"/>
        <v>rokwzgl=25 i lp=740</v>
      </c>
      <c r="AE82" s="27" t="str">
        <f t="shared" si="20"/>
        <v>rokwzgl=26 i lp=740</v>
      </c>
      <c r="AF82" s="27" t="str">
        <f t="shared" si="20"/>
        <v>rokwzgl=27 i lp=740</v>
      </c>
      <c r="AG82" s="27" t="str">
        <f t="shared" si="20"/>
        <v>rokwzgl=28 i lp=740</v>
      </c>
      <c r="AH82" s="27" t="str">
        <f t="shared" si="20"/>
        <v>rokwzgl=29 i lp=740</v>
      </c>
    </row>
    <row r="83" spans="1:34">
      <c r="A83" s="26">
        <v>750</v>
      </c>
      <c r="B83" s="26" t="s">
        <v>111</v>
      </c>
      <c r="C83" s="27" t="s">
        <v>112</v>
      </c>
      <c r="D83" s="27" t="str">
        <f t="shared" si="22"/>
        <v>rokwzgl=0 i lp=750</v>
      </c>
      <c r="E83" s="27" t="str">
        <f t="shared" si="22"/>
        <v>rokwzgl=0 i lp=750</v>
      </c>
      <c r="F83" s="27" t="str">
        <f t="shared" si="22"/>
        <v>rokwzgl=1 i lp=750</v>
      </c>
      <c r="G83" s="27" t="str">
        <f t="shared" si="22"/>
        <v>rokwzgl=2 i lp=750</v>
      </c>
      <c r="H83" s="27" t="str">
        <f t="shared" si="22"/>
        <v>rokwzgl=3 i lp=750</v>
      </c>
      <c r="I83" s="27" t="str">
        <f t="shared" si="22"/>
        <v>rokwzgl=4 i lp=750</v>
      </c>
      <c r="J83" s="27" t="str">
        <f t="shared" si="22"/>
        <v>rokwzgl=5 i lp=750</v>
      </c>
      <c r="K83" s="27" t="str">
        <f t="shared" si="22"/>
        <v>rokwzgl=6 i lp=750</v>
      </c>
      <c r="L83" s="27" t="str">
        <f t="shared" si="22"/>
        <v>rokwzgl=7 i lp=750</v>
      </c>
      <c r="M83" s="27" t="str">
        <f t="shared" si="22"/>
        <v>rokwzgl=8 i lp=750</v>
      </c>
      <c r="N83" s="27" t="str">
        <f t="shared" si="21"/>
        <v>rokwzgl=9 i lp=750</v>
      </c>
      <c r="O83" s="27" t="str">
        <f t="shared" si="21"/>
        <v>rokwzgl=10 i lp=750</v>
      </c>
      <c r="P83" s="27" t="str">
        <f t="shared" si="21"/>
        <v>rokwzgl=11 i lp=750</v>
      </c>
      <c r="Q83" s="27" t="str">
        <f t="shared" si="21"/>
        <v>rokwzgl=12 i lp=750</v>
      </c>
      <c r="R83" s="27" t="str">
        <f t="shared" si="21"/>
        <v>rokwzgl=13 i lp=750</v>
      </c>
      <c r="S83" s="27" t="str">
        <f t="shared" si="21"/>
        <v>rokwzgl=14 i lp=750</v>
      </c>
      <c r="T83" s="27" t="str">
        <f t="shared" si="21"/>
        <v>rokwzgl=15 i lp=750</v>
      </c>
      <c r="U83" s="27" t="str">
        <f t="shared" si="21"/>
        <v>rokwzgl=16 i lp=750</v>
      </c>
      <c r="V83" s="27" t="str">
        <f t="shared" si="21"/>
        <v>rokwzgl=17 i lp=750</v>
      </c>
      <c r="W83" s="27" t="str">
        <f t="shared" si="21"/>
        <v>rokwzgl=18 i lp=750</v>
      </c>
      <c r="X83" s="27" t="str">
        <f t="shared" si="20"/>
        <v>rokwzgl=19 i lp=750</v>
      </c>
      <c r="Y83" s="27" t="str">
        <f t="shared" si="20"/>
        <v>rokwzgl=20 i lp=750</v>
      </c>
      <c r="Z83" s="27" t="str">
        <f t="shared" si="20"/>
        <v>rokwzgl=21 i lp=750</v>
      </c>
      <c r="AA83" s="27" t="str">
        <f t="shared" si="20"/>
        <v>rokwzgl=22 i lp=750</v>
      </c>
      <c r="AB83" s="27" t="str">
        <f t="shared" si="20"/>
        <v>rokwzgl=23 i lp=750</v>
      </c>
      <c r="AC83" s="27" t="str">
        <f t="shared" si="20"/>
        <v>rokwzgl=24 i lp=750</v>
      </c>
      <c r="AD83" s="27" t="str">
        <f t="shared" si="20"/>
        <v>rokwzgl=25 i lp=750</v>
      </c>
      <c r="AE83" s="27" t="str">
        <f t="shared" si="20"/>
        <v>rokwzgl=26 i lp=750</v>
      </c>
      <c r="AF83" s="27" t="str">
        <f t="shared" si="20"/>
        <v>rokwzgl=27 i lp=750</v>
      </c>
      <c r="AG83" s="27" t="str">
        <f t="shared" si="20"/>
        <v>rokwzgl=28 i lp=750</v>
      </c>
      <c r="AH83" s="27" t="str">
        <f t="shared" si="20"/>
        <v>rokwzgl=29 i lp=750</v>
      </c>
    </row>
    <row r="84" spans="1:34">
      <c r="A84" s="26">
        <v>760</v>
      </c>
      <c r="B84" s="26" t="s">
        <v>167</v>
      </c>
      <c r="C84" s="27" t="s">
        <v>113</v>
      </c>
      <c r="D84" s="27" t="str">
        <f t="shared" si="22"/>
        <v>rokwzgl=0 i lp=760</v>
      </c>
      <c r="E84" s="27" t="str">
        <f t="shared" si="22"/>
        <v>rokwzgl=0 i lp=760</v>
      </c>
      <c r="F84" s="27" t="str">
        <f t="shared" si="22"/>
        <v>rokwzgl=1 i lp=760</v>
      </c>
      <c r="G84" s="27" t="str">
        <f t="shared" si="22"/>
        <v>rokwzgl=2 i lp=760</v>
      </c>
      <c r="H84" s="27" t="str">
        <f t="shared" si="22"/>
        <v>rokwzgl=3 i lp=760</v>
      </c>
      <c r="I84" s="27" t="str">
        <f t="shared" si="22"/>
        <v>rokwzgl=4 i lp=760</v>
      </c>
      <c r="J84" s="27" t="str">
        <f t="shared" si="22"/>
        <v>rokwzgl=5 i lp=760</v>
      </c>
      <c r="K84" s="27" t="str">
        <f t="shared" si="22"/>
        <v>rokwzgl=6 i lp=760</v>
      </c>
      <c r="L84" s="27" t="str">
        <f t="shared" si="22"/>
        <v>rokwzgl=7 i lp=760</v>
      </c>
      <c r="M84" s="27" t="str">
        <f t="shared" si="22"/>
        <v>rokwzgl=8 i lp=760</v>
      </c>
      <c r="N84" s="27" t="str">
        <f t="shared" si="21"/>
        <v>rokwzgl=9 i lp=760</v>
      </c>
      <c r="O84" s="27" t="str">
        <f t="shared" si="21"/>
        <v>rokwzgl=10 i lp=760</v>
      </c>
      <c r="P84" s="27" t="str">
        <f t="shared" si="21"/>
        <v>rokwzgl=11 i lp=760</v>
      </c>
      <c r="Q84" s="27" t="str">
        <f t="shared" si="21"/>
        <v>rokwzgl=12 i lp=760</v>
      </c>
      <c r="R84" s="27" t="str">
        <f t="shared" si="21"/>
        <v>rokwzgl=13 i lp=760</v>
      </c>
      <c r="S84" s="27" t="str">
        <f t="shared" si="21"/>
        <v>rokwzgl=14 i lp=760</v>
      </c>
      <c r="T84" s="27" t="str">
        <f t="shared" si="21"/>
        <v>rokwzgl=15 i lp=760</v>
      </c>
      <c r="U84" s="27" t="str">
        <f t="shared" si="21"/>
        <v>rokwzgl=16 i lp=760</v>
      </c>
      <c r="V84" s="27" t="str">
        <f t="shared" si="21"/>
        <v>rokwzgl=17 i lp=760</v>
      </c>
      <c r="W84" s="27" t="str">
        <f t="shared" si="21"/>
        <v>rokwzgl=18 i lp=760</v>
      </c>
      <c r="X84" s="27" t="str">
        <f t="shared" si="20"/>
        <v>rokwzgl=19 i lp=760</v>
      </c>
      <c r="Y84" s="27" t="str">
        <f t="shared" si="20"/>
        <v>rokwzgl=20 i lp=760</v>
      </c>
      <c r="Z84" s="27" t="str">
        <f t="shared" si="20"/>
        <v>rokwzgl=21 i lp=760</v>
      </c>
      <c r="AA84" s="27" t="str">
        <f t="shared" si="20"/>
        <v>rokwzgl=22 i lp=760</v>
      </c>
      <c r="AB84" s="27" t="str">
        <f t="shared" si="20"/>
        <v>rokwzgl=23 i lp=760</v>
      </c>
      <c r="AC84" s="27" t="str">
        <f t="shared" si="20"/>
        <v>rokwzgl=24 i lp=760</v>
      </c>
      <c r="AD84" s="27" t="str">
        <f t="shared" si="20"/>
        <v>rokwzgl=25 i lp=760</v>
      </c>
      <c r="AE84" s="27" t="str">
        <f t="shared" si="20"/>
        <v>rokwzgl=26 i lp=760</v>
      </c>
      <c r="AF84" s="27" t="str">
        <f t="shared" si="20"/>
        <v>rokwzgl=27 i lp=760</v>
      </c>
      <c r="AG84" s="27" t="str">
        <f t="shared" si="20"/>
        <v>rokwzgl=28 i lp=760</v>
      </c>
      <c r="AH84" s="27" t="str">
        <f t="shared" si="20"/>
        <v>rokwzgl=29 i lp=760</v>
      </c>
    </row>
    <row r="85" spans="1:34">
      <c r="A85" s="26">
        <v>761</v>
      </c>
      <c r="B85" s="26" t="s">
        <v>114</v>
      </c>
      <c r="C85" s="27" t="s">
        <v>115</v>
      </c>
      <c r="D85" s="27" t="str">
        <f t="shared" si="22"/>
        <v>rokwzgl=0 i lp=761</v>
      </c>
      <c r="E85" s="27" t="str">
        <f t="shared" si="22"/>
        <v>rokwzgl=0 i lp=761</v>
      </c>
      <c r="F85" s="27" t="str">
        <f t="shared" si="22"/>
        <v>rokwzgl=1 i lp=761</v>
      </c>
      <c r="G85" s="27" t="str">
        <f t="shared" si="22"/>
        <v>rokwzgl=2 i lp=761</v>
      </c>
      <c r="H85" s="27" t="str">
        <f t="shared" si="22"/>
        <v>rokwzgl=3 i lp=761</v>
      </c>
      <c r="I85" s="27" t="str">
        <f t="shared" si="22"/>
        <v>rokwzgl=4 i lp=761</v>
      </c>
      <c r="J85" s="27" t="str">
        <f t="shared" si="22"/>
        <v>rokwzgl=5 i lp=761</v>
      </c>
      <c r="K85" s="27" t="str">
        <f t="shared" si="22"/>
        <v>rokwzgl=6 i lp=761</v>
      </c>
      <c r="L85" s="27" t="str">
        <f t="shared" si="22"/>
        <v>rokwzgl=7 i lp=761</v>
      </c>
      <c r="M85" s="27" t="str">
        <f t="shared" si="22"/>
        <v>rokwzgl=8 i lp=761</v>
      </c>
      <c r="N85" s="27" t="str">
        <f t="shared" si="21"/>
        <v>rokwzgl=9 i lp=761</v>
      </c>
      <c r="O85" s="27" t="str">
        <f t="shared" si="21"/>
        <v>rokwzgl=10 i lp=761</v>
      </c>
      <c r="P85" s="27" t="str">
        <f t="shared" si="21"/>
        <v>rokwzgl=11 i lp=761</v>
      </c>
      <c r="Q85" s="27" t="str">
        <f t="shared" si="21"/>
        <v>rokwzgl=12 i lp=761</v>
      </c>
      <c r="R85" s="27" t="str">
        <f t="shared" si="21"/>
        <v>rokwzgl=13 i lp=761</v>
      </c>
      <c r="S85" s="27" t="str">
        <f t="shared" si="21"/>
        <v>rokwzgl=14 i lp=761</v>
      </c>
      <c r="T85" s="27" t="str">
        <f t="shared" si="21"/>
        <v>rokwzgl=15 i lp=761</v>
      </c>
      <c r="U85" s="27" t="str">
        <f t="shared" si="21"/>
        <v>rokwzgl=16 i lp=761</v>
      </c>
      <c r="V85" s="27" t="str">
        <f t="shared" si="21"/>
        <v>rokwzgl=17 i lp=761</v>
      </c>
      <c r="W85" s="27" t="str">
        <f t="shared" si="21"/>
        <v>rokwzgl=18 i lp=761</v>
      </c>
      <c r="X85" s="27" t="str">
        <f t="shared" si="20"/>
        <v>rokwzgl=19 i lp=761</v>
      </c>
      <c r="Y85" s="27" t="str">
        <f t="shared" si="20"/>
        <v>rokwzgl=20 i lp=761</v>
      </c>
      <c r="Z85" s="27" t="str">
        <f t="shared" si="20"/>
        <v>rokwzgl=21 i lp=761</v>
      </c>
      <c r="AA85" s="27" t="str">
        <f t="shared" si="20"/>
        <v>rokwzgl=22 i lp=761</v>
      </c>
      <c r="AB85" s="27" t="str">
        <f t="shared" si="20"/>
        <v>rokwzgl=23 i lp=761</v>
      </c>
      <c r="AC85" s="27" t="str">
        <f t="shared" si="20"/>
        <v>rokwzgl=24 i lp=761</v>
      </c>
      <c r="AD85" s="27" t="str">
        <f t="shared" si="20"/>
        <v>rokwzgl=25 i lp=761</v>
      </c>
      <c r="AE85" s="27" t="str">
        <f t="shared" si="20"/>
        <v>rokwzgl=26 i lp=761</v>
      </c>
      <c r="AF85" s="27" t="str">
        <f t="shared" si="20"/>
        <v>rokwzgl=27 i lp=761</v>
      </c>
      <c r="AG85" s="27" t="str">
        <f t="shared" si="20"/>
        <v>rokwzgl=28 i lp=761</v>
      </c>
      <c r="AH85" s="27" t="str">
        <f t="shared" si="20"/>
        <v>rokwzgl=29 i lp=761</v>
      </c>
    </row>
    <row r="86" spans="1:34">
      <c r="A86" s="26">
        <v>762</v>
      </c>
      <c r="B86" s="26" t="s">
        <v>116</v>
      </c>
      <c r="C86" s="27" t="s">
        <v>117</v>
      </c>
      <c r="D86" s="27" t="str">
        <f t="shared" si="22"/>
        <v>rokwzgl=0 i lp=762</v>
      </c>
      <c r="E86" s="27" t="str">
        <f t="shared" si="22"/>
        <v>rokwzgl=0 i lp=762</v>
      </c>
      <c r="F86" s="27" t="str">
        <f t="shared" si="22"/>
        <v>rokwzgl=1 i lp=762</v>
      </c>
      <c r="G86" s="27" t="str">
        <f t="shared" si="22"/>
        <v>rokwzgl=2 i lp=762</v>
      </c>
      <c r="H86" s="27" t="str">
        <f t="shared" si="22"/>
        <v>rokwzgl=3 i lp=762</v>
      </c>
      <c r="I86" s="27" t="str">
        <f t="shared" si="22"/>
        <v>rokwzgl=4 i lp=762</v>
      </c>
      <c r="J86" s="27" t="str">
        <f t="shared" si="22"/>
        <v>rokwzgl=5 i lp=762</v>
      </c>
      <c r="K86" s="27" t="str">
        <f t="shared" si="22"/>
        <v>rokwzgl=6 i lp=762</v>
      </c>
      <c r="L86" s="27" t="str">
        <f t="shared" si="22"/>
        <v>rokwzgl=7 i lp=762</v>
      </c>
      <c r="M86" s="27" t="str">
        <f t="shared" si="22"/>
        <v>rokwzgl=8 i lp=762</v>
      </c>
      <c r="N86" s="27" t="str">
        <f t="shared" si="21"/>
        <v>rokwzgl=9 i lp=762</v>
      </c>
      <c r="O86" s="27" t="str">
        <f t="shared" si="21"/>
        <v>rokwzgl=10 i lp=762</v>
      </c>
      <c r="P86" s="27" t="str">
        <f t="shared" si="21"/>
        <v>rokwzgl=11 i lp=762</v>
      </c>
      <c r="Q86" s="27" t="str">
        <f t="shared" si="21"/>
        <v>rokwzgl=12 i lp=762</v>
      </c>
      <c r="R86" s="27" t="str">
        <f t="shared" si="21"/>
        <v>rokwzgl=13 i lp=762</v>
      </c>
      <c r="S86" s="27" t="str">
        <f t="shared" si="21"/>
        <v>rokwzgl=14 i lp=762</v>
      </c>
      <c r="T86" s="27" t="str">
        <f t="shared" si="21"/>
        <v>rokwzgl=15 i lp=762</v>
      </c>
      <c r="U86" s="27" t="str">
        <f t="shared" si="21"/>
        <v>rokwzgl=16 i lp=762</v>
      </c>
      <c r="V86" s="27" t="str">
        <f t="shared" si="21"/>
        <v>rokwzgl=17 i lp=762</v>
      </c>
      <c r="W86" s="27" t="str">
        <f t="shared" si="21"/>
        <v>rokwzgl=18 i lp=762</v>
      </c>
      <c r="X86" s="27" t="str">
        <f t="shared" si="20"/>
        <v>rokwzgl=19 i lp=762</v>
      </c>
      <c r="Y86" s="27" t="str">
        <f t="shared" si="20"/>
        <v>rokwzgl=20 i lp=762</v>
      </c>
      <c r="Z86" s="27" t="str">
        <f t="shared" si="20"/>
        <v>rokwzgl=21 i lp=762</v>
      </c>
      <c r="AA86" s="27" t="str">
        <f t="shared" si="20"/>
        <v>rokwzgl=22 i lp=762</v>
      </c>
      <c r="AB86" s="27" t="str">
        <f t="shared" si="20"/>
        <v>rokwzgl=23 i lp=762</v>
      </c>
      <c r="AC86" s="27" t="str">
        <f t="shared" si="20"/>
        <v>rokwzgl=24 i lp=762</v>
      </c>
      <c r="AD86" s="27" t="str">
        <f t="shared" si="20"/>
        <v>rokwzgl=25 i lp=762</v>
      </c>
      <c r="AE86" s="27" t="str">
        <f t="shared" si="20"/>
        <v>rokwzgl=26 i lp=762</v>
      </c>
      <c r="AF86" s="27" t="str">
        <f t="shared" si="20"/>
        <v>rokwzgl=27 i lp=762</v>
      </c>
      <c r="AG86" s="27" t="str">
        <f t="shared" si="20"/>
        <v>rokwzgl=28 i lp=762</v>
      </c>
      <c r="AH86" s="27" t="str">
        <f t="shared" si="20"/>
        <v>rokwzgl=29 i lp=762</v>
      </c>
    </row>
    <row r="87" spans="1:34">
      <c r="A87" s="26">
        <v>763</v>
      </c>
      <c r="B87" s="26" t="s">
        <v>403</v>
      </c>
      <c r="C87" s="27" t="s">
        <v>404</v>
      </c>
      <c r="D87" s="27" t="str">
        <f t="shared" si="22"/>
        <v>rokwzgl=0 i lp=763</v>
      </c>
      <c r="E87" s="27" t="str">
        <f t="shared" si="22"/>
        <v>rokwzgl=0 i lp=763</v>
      </c>
      <c r="F87" s="27" t="str">
        <f t="shared" si="22"/>
        <v>rokwzgl=1 i lp=763</v>
      </c>
      <c r="G87" s="27" t="str">
        <f t="shared" si="22"/>
        <v>rokwzgl=2 i lp=763</v>
      </c>
      <c r="H87" s="27" t="str">
        <f t="shared" si="22"/>
        <v>rokwzgl=3 i lp=763</v>
      </c>
      <c r="I87" s="27" t="str">
        <f t="shared" si="22"/>
        <v>rokwzgl=4 i lp=763</v>
      </c>
      <c r="J87" s="27" t="str">
        <f t="shared" si="22"/>
        <v>rokwzgl=5 i lp=763</v>
      </c>
      <c r="K87" s="27" t="str">
        <f t="shared" si="22"/>
        <v>rokwzgl=6 i lp=763</v>
      </c>
      <c r="L87" s="27" t="str">
        <f t="shared" si="22"/>
        <v>rokwzgl=7 i lp=763</v>
      </c>
      <c r="M87" s="27" t="str">
        <f t="shared" si="22"/>
        <v>rokwzgl=8 i lp=763</v>
      </c>
      <c r="N87" s="27" t="str">
        <f t="shared" si="21"/>
        <v>rokwzgl=9 i lp=763</v>
      </c>
      <c r="O87" s="27" t="str">
        <f t="shared" si="21"/>
        <v>rokwzgl=10 i lp=763</v>
      </c>
      <c r="P87" s="27" t="str">
        <f t="shared" si="21"/>
        <v>rokwzgl=11 i lp=763</v>
      </c>
      <c r="Q87" s="27" t="str">
        <f t="shared" si="21"/>
        <v>rokwzgl=12 i lp=763</v>
      </c>
      <c r="R87" s="27" t="str">
        <f t="shared" si="21"/>
        <v>rokwzgl=13 i lp=763</v>
      </c>
      <c r="S87" s="27" t="str">
        <f t="shared" si="21"/>
        <v>rokwzgl=14 i lp=763</v>
      </c>
      <c r="T87" s="27" t="str">
        <f t="shared" si="21"/>
        <v>rokwzgl=15 i lp=763</v>
      </c>
      <c r="U87" s="27" t="str">
        <f t="shared" si="21"/>
        <v>rokwzgl=16 i lp=763</v>
      </c>
      <c r="V87" s="27" t="str">
        <f t="shared" si="21"/>
        <v>rokwzgl=17 i lp=763</v>
      </c>
      <c r="W87" s="27" t="str">
        <f t="shared" si="21"/>
        <v>rokwzgl=18 i lp=763</v>
      </c>
      <c r="X87" s="27" t="str">
        <f t="shared" si="20"/>
        <v>rokwzgl=19 i lp=763</v>
      </c>
      <c r="Y87" s="27" t="str">
        <f t="shared" si="20"/>
        <v>rokwzgl=20 i lp=763</v>
      </c>
      <c r="Z87" s="27" t="str">
        <f t="shared" si="20"/>
        <v>rokwzgl=21 i lp=763</v>
      </c>
      <c r="AA87" s="27" t="str">
        <f t="shared" si="20"/>
        <v>rokwzgl=22 i lp=763</v>
      </c>
      <c r="AB87" s="27" t="str">
        <f t="shared" si="20"/>
        <v>rokwzgl=23 i lp=763</v>
      </c>
      <c r="AC87" s="27" t="str">
        <f t="shared" si="20"/>
        <v>rokwzgl=24 i lp=763</v>
      </c>
      <c r="AD87" s="27" t="str">
        <f t="shared" si="20"/>
        <v>rokwzgl=25 i lp=763</v>
      </c>
      <c r="AE87" s="27" t="str">
        <f t="shared" si="20"/>
        <v>rokwzgl=26 i lp=763</v>
      </c>
      <c r="AF87" s="27" t="str">
        <f t="shared" si="20"/>
        <v>rokwzgl=27 i lp=763</v>
      </c>
      <c r="AG87" s="27" t="str">
        <f t="shared" si="20"/>
        <v>rokwzgl=28 i lp=763</v>
      </c>
      <c r="AH87" s="27" t="str">
        <f t="shared" si="20"/>
        <v>rokwzgl=29 i lp=763</v>
      </c>
    </row>
    <row r="88" spans="1:34">
      <c r="A88" s="26">
        <v>764</v>
      </c>
      <c r="B88" s="26" t="s">
        <v>405</v>
      </c>
      <c r="C88" s="27" t="s">
        <v>406</v>
      </c>
      <c r="D88" s="27" t="str">
        <f t="shared" si="22"/>
        <v>rokwzgl=0 i lp=764</v>
      </c>
      <c r="E88" s="27" t="str">
        <f t="shared" si="22"/>
        <v>rokwzgl=0 i lp=764</v>
      </c>
      <c r="F88" s="27" t="str">
        <f t="shared" si="22"/>
        <v>rokwzgl=1 i lp=764</v>
      </c>
      <c r="G88" s="27" t="str">
        <f t="shared" si="22"/>
        <v>rokwzgl=2 i lp=764</v>
      </c>
      <c r="H88" s="27" t="str">
        <f t="shared" si="22"/>
        <v>rokwzgl=3 i lp=764</v>
      </c>
      <c r="I88" s="27" t="str">
        <f t="shared" si="22"/>
        <v>rokwzgl=4 i lp=764</v>
      </c>
      <c r="J88" s="27" t="str">
        <f t="shared" si="22"/>
        <v>rokwzgl=5 i lp=764</v>
      </c>
      <c r="K88" s="27" t="str">
        <f t="shared" si="22"/>
        <v>rokwzgl=6 i lp=764</v>
      </c>
      <c r="L88" s="27" t="str">
        <f t="shared" si="22"/>
        <v>rokwzgl=7 i lp=764</v>
      </c>
      <c r="M88" s="27" t="str">
        <f t="shared" si="22"/>
        <v>rokwzgl=8 i lp=764</v>
      </c>
      <c r="N88" s="27" t="str">
        <f t="shared" si="21"/>
        <v>rokwzgl=9 i lp=764</v>
      </c>
      <c r="O88" s="27" t="str">
        <f t="shared" si="21"/>
        <v>rokwzgl=10 i lp=764</v>
      </c>
      <c r="P88" s="27" t="str">
        <f t="shared" si="21"/>
        <v>rokwzgl=11 i lp=764</v>
      </c>
      <c r="Q88" s="27" t="str">
        <f t="shared" si="21"/>
        <v>rokwzgl=12 i lp=764</v>
      </c>
      <c r="R88" s="27" t="str">
        <f t="shared" si="21"/>
        <v>rokwzgl=13 i lp=764</v>
      </c>
      <c r="S88" s="27" t="str">
        <f t="shared" si="21"/>
        <v>rokwzgl=14 i lp=764</v>
      </c>
      <c r="T88" s="27" t="str">
        <f t="shared" si="21"/>
        <v>rokwzgl=15 i lp=764</v>
      </c>
      <c r="U88" s="27" t="str">
        <f t="shared" si="21"/>
        <v>rokwzgl=16 i lp=764</v>
      </c>
      <c r="V88" s="27" t="str">
        <f t="shared" si="21"/>
        <v>rokwzgl=17 i lp=764</v>
      </c>
      <c r="W88" s="27" t="str">
        <f t="shared" si="21"/>
        <v>rokwzgl=18 i lp=764</v>
      </c>
      <c r="X88" s="27" t="str">
        <f t="shared" si="20"/>
        <v>rokwzgl=19 i lp=764</v>
      </c>
      <c r="Y88" s="27" t="str">
        <f t="shared" si="20"/>
        <v>rokwzgl=20 i lp=764</v>
      </c>
      <c r="Z88" s="27" t="str">
        <f t="shared" si="20"/>
        <v>rokwzgl=21 i lp=764</v>
      </c>
      <c r="AA88" s="27" t="str">
        <f t="shared" si="20"/>
        <v>rokwzgl=22 i lp=764</v>
      </c>
      <c r="AB88" s="27" t="str">
        <f t="shared" si="20"/>
        <v>rokwzgl=23 i lp=764</v>
      </c>
      <c r="AC88" s="27" t="str">
        <f t="shared" si="20"/>
        <v>rokwzgl=24 i lp=764</v>
      </c>
      <c r="AD88" s="27" t="str">
        <f t="shared" si="20"/>
        <v>rokwzgl=25 i lp=764</v>
      </c>
      <c r="AE88" s="27" t="str">
        <f t="shared" si="20"/>
        <v>rokwzgl=26 i lp=764</v>
      </c>
      <c r="AF88" s="27" t="str">
        <f t="shared" si="20"/>
        <v>rokwzgl=27 i lp=764</v>
      </c>
      <c r="AG88" s="27" t="str">
        <f t="shared" si="20"/>
        <v>rokwzgl=28 i lp=764</v>
      </c>
      <c r="AH88" s="27" t="str">
        <f t="shared" si="20"/>
        <v>rokwzgl=29 i lp=764</v>
      </c>
    </row>
    <row r="89" spans="1:34">
      <c r="A89" s="26">
        <v>765</v>
      </c>
      <c r="B89" s="26" t="s">
        <v>407</v>
      </c>
      <c r="C89" s="27" t="s">
        <v>408</v>
      </c>
      <c r="D89" s="27" t="str">
        <f t="shared" si="22"/>
        <v>rokwzgl=0 i lp=765</v>
      </c>
      <c r="E89" s="27" t="str">
        <f t="shared" si="22"/>
        <v>rokwzgl=0 i lp=765</v>
      </c>
      <c r="F89" s="27" t="str">
        <f t="shared" si="22"/>
        <v>rokwzgl=1 i lp=765</v>
      </c>
      <c r="G89" s="27" t="str">
        <f t="shared" si="22"/>
        <v>rokwzgl=2 i lp=765</v>
      </c>
      <c r="H89" s="27" t="str">
        <f t="shared" si="22"/>
        <v>rokwzgl=3 i lp=765</v>
      </c>
      <c r="I89" s="27" t="str">
        <f t="shared" si="22"/>
        <v>rokwzgl=4 i lp=765</v>
      </c>
      <c r="J89" s="27" t="str">
        <f t="shared" si="22"/>
        <v>rokwzgl=5 i lp=765</v>
      </c>
      <c r="K89" s="27" t="str">
        <f t="shared" si="22"/>
        <v>rokwzgl=6 i lp=765</v>
      </c>
      <c r="L89" s="27" t="str">
        <f t="shared" si="22"/>
        <v>rokwzgl=7 i lp=765</v>
      </c>
      <c r="M89" s="27" t="str">
        <f t="shared" si="22"/>
        <v>rokwzgl=8 i lp=765</v>
      </c>
      <c r="N89" s="27" t="str">
        <f t="shared" si="21"/>
        <v>rokwzgl=9 i lp=765</v>
      </c>
      <c r="O89" s="27" t="str">
        <f t="shared" si="21"/>
        <v>rokwzgl=10 i lp=765</v>
      </c>
      <c r="P89" s="27" t="str">
        <f t="shared" si="21"/>
        <v>rokwzgl=11 i lp=765</v>
      </c>
      <c r="Q89" s="27" t="str">
        <f t="shared" si="21"/>
        <v>rokwzgl=12 i lp=765</v>
      </c>
      <c r="R89" s="27" t="str">
        <f t="shared" si="21"/>
        <v>rokwzgl=13 i lp=765</v>
      </c>
      <c r="S89" s="27" t="str">
        <f t="shared" si="21"/>
        <v>rokwzgl=14 i lp=765</v>
      </c>
      <c r="T89" s="27" t="str">
        <f t="shared" si="21"/>
        <v>rokwzgl=15 i lp=765</v>
      </c>
      <c r="U89" s="27" t="str">
        <f t="shared" si="21"/>
        <v>rokwzgl=16 i lp=765</v>
      </c>
      <c r="V89" s="27" t="str">
        <f t="shared" si="21"/>
        <v>rokwzgl=17 i lp=765</v>
      </c>
      <c r="W89" s="27" t="str">
        <f t="shared" si="21"/>
        <v>rokwzgl=18 i lp=765</v>
      </c>
      <c r="X89" s="27" t="str">
        <f t="shared" si="20"/>
        <v>rokwzgl=19 i lp=765</v>
      </c>
      <c r="Y89" s="27" t="str">
        <f t="shared" si="20"/>
        <v>rokwzgl=20 i lp=765</v>
      </c>
      <c r="Z89" s="27" t="str">
        <f t="shared" si="20"/>
        <v>rokwzgl=21 i lp=765</v>
      </c>
      <c r="AA89" s="27" t="str">
        <f t="shared" si="20"/>
        <v>rokwzgl=22 i lp=765</v>
      </c>
      <c r="AB89" s="27" t="str">
        <f t="shared" si="20"/>
        <v>rokwzgl=23 i lp=765</v>
      </c>
      <c r="AC89" s="27" t="str">
        <f t="shared" si="20"/>
        <v>rokwzgl=24 i lp=765</v>
      </c>
      <c r="AD89" s="27" t="str">
        <f t="shared" si="20"/>
        <v>rokwzgl=25 i lp=765</v>
      </c>
      <c r="AE89" s="27" t="str">
        <f t="shared" si="20"/>
        <v>rokwzgl=26 i lp=765</v>
      </c>
      <c r="AF89" s="27" t="str">
        <f t="shared" si="20"/>
        <v>rokwzgl=27 i lp=765</v>
      </c>
      <c r="AG89" s="27" t="str">
        <f t="shared" si="20"/>
        <v>rokwzgl=28 i lp=765</v>
      </c>
      <c r="AH89" s="27" t="str">
        <f t="shared" si="20"/>
        <v>rokwzgl=29 i lp=765</v>
      </c>
    </row>
    <row r="90" spans="1:34">
      <c r="A90" s="26">
        <v>766</v>
      </c>
      <c r="B90" s="26" t="s">
        <v>409</v>
      </c>
      <c r="C90" s="27" t="s">
        <v>406</v>
      </c>
      <c r="D90" s="27" t="str">
        <f t="shared" si="22"/>
        <v>rokwzgl=0 i lp=766</v>
      </c>
      <c r="E90" s="27" t="str">
        <f t="shared" si="22"/>
        <v>rokwzgl=0 i lp=766</v>
      </c>
      <c r="F90" s="27" t="str">
        <f t="shared" si="22"/>
        <v>rokwzgl=1 i lp=766</v>
      </c>
      <c r="G90" s="27" t="str">
        <f t="shared" si="22"/>
        <v>rokwzgl=2 i lp=766</v>
      </c>
      <c r="H90" s="27" t="str">
        <f t="shared" si="22"/>
        <v>rokwzgl=3 i lp=766</v>
      </c>
      <c r="I90" s="27" t="str">
        <f t="shared" si="22"/>
        <v>rokwzgl=4 i lp=766</v>
      </c>
      <c r="J90" s="27" t="str">
        <f t="shared" si="22"/>
        <v>rokwzgl=5 i lp=766</v>
      </c>
      <c r="K90" s="27" t="str">
        <f t="shared" si="22"/>
        <v>rokwzgl=6 i lp=766</v>
      </c>
      <c r="L90" s="27" t="str">
        <f t="shared" si="22"/>
        <v>rokwzgl=7 i lp=766</v>
      </c>
      <c r="M90" s="27" t="str">
        <f t="shared" si="22"/>
        <v>rokwzgl=8 i lp=766</v>
      </c>
      <c r="N90" s="27" t="str">
        <f t="shared" si="21"/>
        <v>rokwzgl=9 i lp=766</v>
      </c>
      <c r="O90" s="27" t="str">
        <f t="shared" si="21"/>
        <v>rokwzgl=10 i lp=766</v>
      </c>
      <c r="P90" s="27" t="str">
        <f t="shared" si="21"/>
        <v>rokwzgl=11 i lp=766</v>
      </c>
      <c r="Q90" s="27" t="str">
        <f t="shared" si="21"/>
        <v>rokwzgl=12 i lp=766</v>
      </c>
      <c r="R90" s="27" t="str">
        <f t="shared" si="21"/>
        <v>rokwzgl=13 i lp=766</v>
      </c>
      <c r="S90" s="27" t="str">
        <f t="shared" si="21"/>
        <v>rokwzgl=14 i lp=766</v>
      </c>
      <c r="T90" s="27" t="str">
        <f t="shared" si="21"/>
        <v>rokwzgl=15 i lp=766</v>
      </c>
      <c r="U90" s="27" t="str">
        <f t="shared" si="21"/>
        <v>rokwzgl=16 i lp=766</v>
      </c>
      <c r="V90" s="27" t="str">
        <f t="shared" si="21"/>
        <v>rokwzgl=17 i lp=766</v>
      </c>
      <c r="W90" s="27" t="str">
        <f t="shared" si="21"/>
        <v>rokwzgl=18 i lp=766</v>
      </c>
      <c r="X90" s="27" t="str">
        <f t="shared" si="20"/>
        <v>rokwzgl=19 i lp=766</v>
      </c>
      <c r="Y90" s="27" t="str">
        <f t="shared" si="20"/>
        <v>rokwzgl=20 i lp=766</v>
      </c>
      <c r="Z90" s="27" t="str">
        <f t="shared" si="20"/>
        <v>rokwzgl=21 i lp=766</v>
      </c>
      <c r="AA90" s="27" t="str">
        <f t="shared" si="20"/>
        <v>rokwzgl=22 i lp=766</v>
      </c>
      <c r="AB90" s="27" t="str">
        <f t="shared" si="20"/>
        <v>rokwzgl=23 i lp=766</v>
      </c>
      <c r="AC90" s="27" t="str">
        <f t="shared" si="20"/>
        <v>rokwzgl=24 i lp=766</v>
      </c>
      <c r="AD90" s="27" t="str">
        <f t="shared" si="20"/>
        <v>rokwzgl=25 i lp=766</v>
      </c>
      <c r="AE90" s="27" t="str">
        <f t="shared" si="20"/>
        <v>rokwzgl=26 i lp=766</v>
      </c>
      <c r="AF90" s="27" t="str">
        <f t="shared" si="20"/>
        <v>rokwzgl=27 i lp=766</v>
      </c>
      <c r="AG90" s="27" t="str">
        <f t="shared" si="20"/>
        <v>rokwzgl=28 i lp=766</v>
      </c>
      <c r="AH90" s="27" t="str">
        <f t="shared" si="20"/>
        <v>rokwzgl=29 i lp=766</v>
      </c>
    </row>
    <row r="91" spans="1:34">
      <c r="A91" s="26">
        <v>767</v>
      </c>
      <c r="B91" s="26" t="s">
        <v>410</v>
      </c>
      <c r="C91" s="27" t="s">
        <v>411</v>
      </c>
      <c r="D91" s="27" t="str">
        <f t="shared" si="22"/>
        <v>rokwzgl=0 i lp=767</v>
      </c>
      <c r="E91" s="27" t="str">
        <f t="shared" si="22"/>
        <v>rokwzgl=0 i lp=767</v>
      </c>
      <c r="F91" s="27" t="str">
        <f t="shared" si="22"/>
        <v>rokwzgl=1 i lp=767</v>
      </c>
      <c r="G91" s="27" t="str">
        <f t="shared" si="22"/>
        <v>rokwzgl=2 i lp=767</v>
      </c>
      <c r="H91" s="27" t="str">
        <f t="shared" si="22"/>
        <v>rokwzgl=3 i lp=767</v>
      </c>
      <c r="I91" s="27" t="str">
        <f t="shared" si="22"/>
        <v>rokwzgl=4 i lp=767</v>
      </c>
      <c r="J91" s="27" t="str">
        <f t="shared" si="22"/>
        <v>rokwzgl=5 i lp=767</v>
      </c>
      <c r="K91" s="27" t="str">
        <f t="shared" si="22"/>
        <v>rokwzgl=6 i lp=767</v>
      </c>
      <c r="L91" s="27" t="str">
        <f t="shared" si="22"/>
        <v>rokwzgl=7 i lp=767</v>
      </c>
      <c r="M91" s="27" t="str">
        <f t="shared" si="22"/>
        <v>rokwzgl=8 i lp=767</v>
      </c>
      <c r="N91" s="27" t="str">
        <f t="shared" si="21"/>
        <v>rokwzgl=9 i lp=767</v>
      </c>
      <c r="O91" s="27" t="str">
        <f t="shared" si="21"/>
        <v>rokwzgl=10 i lp=767</v>
      </c>
      <c r="P91" s="27" t="str">
        <f t="shared" si="21"/>
        <v>rokwzgl=11 i lp=767</v>
      </c>
      <c r="Q91" s="27" t="str">
        <f t="shared" si="21"/>
        <v>rokwzgl=12 i lp=767</v>
      </c>
      <c r="R91" s="27" t="str">
        <f t="shared" si="21"/>
        <v>rokwzgl=13 i lp=767</v>
      </c>
      <c r="S91" s="27" t="str">
        <f t="shared" si="21"/>
        <v>rokwzgl=14 i lp=767</v>
      </c>
      <c r="T91" s="27" t="str">
        <f t="shared" si="21"/>
        <v>rokwzgl=15 i lp=767</v>
      </c>
      <c r="U91" s="27" t="str">
        <f t="shared" si="21"/>
        <v>rokwzgl=16 i lp=767</v>
      </c>
      <c r="V91" s="27" t="str">
        <f t="shared" si="21"/>
        <v>rokwzgl=17 i lp=767</v>
      </c>
      <c r="W91" s="27" t="str">
        <f t="shared" si="21"/>
        <v>rokwzgl=18 i lp=767</v>
      </c>
      <c r="X91" s="27" t="str">
        <f t="shared" si="20"/>
        <v>rokwzgl=19 i lp=767</v>
      </c>
      <c r="Y91" s="27" t="str">
        <f t="shared" si="20"/>
        <v>rokwzgl=20 i lp=767</v>
      </c>
      <c r="Z91" s="27" t="str">
        <f t="shared" si="20"/>
        <v>rokwzgl=21 i lp=767</v>
      </c>
      <c r="AA91" s="27" t="str">
        <f t="shared" si="20"/>
        <v>rokwzgl=22 i lp=767</v>
      </c>
      <c r="AB91" s="27" t="str">
        <f t="shared" si="20"/>
        <v>rokwzgl=23 i lp=767</v>
      </c>
      <c r="AC91" s="27" t="str">
        <f t="shared" si="20"/>
        <v>rokwzgl=24 i lp=767</v>
      </c>
      <c r="AD91" s="27" t="str">
        <f t="shared" si="20"/>
        <v>rokwzgl=25 i lp=767</v>
      </c>
      <c r="AE91" s="27" t="str">
        <f t="shared" si="20"/>
        <v>rokwzgl=26 i lp=767</v>
      </c>
      <c r="AF91" s="27" t="str">
        <f t="shared" si="20"/>
        <v>rokwzgl=27 i lp=767</v>
      </c>
      <c r="AG91" s="27" t="str">
        <f t="shared" si="20"/>
        <v>rokwzgl=28 i lp=767</v>
      </c>
      <c r="AH91" s="27" t="str">
        <f t="shared" si="20"/>
        <v>rokwzgl=29 i lp=767</v>
      </c>
    </row>
    <row r="92" spans="1:34">
      <c r="A92" s="26">
        <v>768</v>
      </c>
      <c r="B92" s="26" t="s">
        <v>412</v>
      </c>
      <c r="C92" s="27" t="s">
        <v>406</v>
      </c>
      <c r="D92" s="27" t="str">
        <f t="shared" si="22"/>
        <v>rokwzgl=0 i lp=768</v>
      </c>
      <c r="E92" s="27" t="str">
        <f t="shared" si="22"/>
        <v>rokwzgl=0 i lp=768</v>
      </c>
      <c r="F92" s="27" t="str">
        <f t="shared" si="22"/>
        <v>rokwzgl=1 i lp=768</v>
      </c>
      <c r="G92" s="27" t="str">
        <f t="shared" si="22"/>
        <v>rokwzgl=2 i lp=768</v>
      </c>
      <c r="H92" s="27" t="str">
        <f t="shared" si="22"/>
        <v>rokwzgl=3 i lp=768</v>
      </c>
      <c r="I92" s="27" t="str">
        <f t="shared" si="22"/>
        <v>rokwzgl=4 i lp=768</v>
      </c>
      <c r="J92" s="27" t="str">
        <f t="shared" si="22"/>
        <v>rokwzgl=5 i lp=768</v>
      </c>
      <c r="K92" s="27" t="str">
        <f t="shared" si="22"/>
        <v>rokwzgl=6 i lp=768</v>
      </c>
      <c r="L92" s="27" t="str">
        <f t="shared" si="22"/>
        <v>rokwzgl=7 i lp=768</v>
      </c>
      <c r="M92" s="27" t="str">
        <f t="shared" si="22"/>
        <v>rokwzgl=8 i lp=768</v>
      </c>
      <c r="N92" s="27" t="str">
        <f t="shared" si="21"/>
        <v>rokwzgl=9 i lp=768</v>
      </c>
      <c r="O92" s="27" t="str">
        <f t="shared" si="21"/>
        <v>rokwzgl=10 i lp=768</v>
      </c>
      <c r="P92" s="27" t="str">
        <f t="shared" si="21"/>
        <v>rokwzgl=11 i lp=768</v>
      </c>
      <c r="Q92" s="27" t="str">
        <f t="shared" si="21"/>
        <v>rokwzgl=12 i lp=768</v>
      </c>
      <c r="R92" s="27" t="str">
        <f t="shared" si="21"/>
        <v>rokwzgl=13 i lp=768</v>
      </c>
      <c r="S92" s="27" t="str">
        <f t="shared" si="21"/>
        <v>rokwzgl=14 i lp=768</v>
      </c>
      <c r="T92" s="27" t="str">
        <f t="shared" si="21"/>
        <v>rokwzgl=15 i lp=768</v>
      </c>
      <c r="U92" s="27" t="str">
        <f t="shared" si="21"/>
        <v>rokwzgl=16 i lp=768</v>
      </c>
      <c r="V92" s="27" t="str">
        <f t="shared" si="21"/>
        <v>rokwzgl=17 i lp=768</v>
      </c>
      <c r="W92" s="27" t="str">
        <f t="shared" si="21"/>
        <v>rokwzgl=18 i lp=768</v>
      </c>
      <c r="X92" s="27" t="str">
        <f t="shared" si="20"/>
        <v>rokwzgl=19 i lp=768</v>
      </c>
      <c r="Y92" s="27" t="str">
        <f t="shared" si="20"/>
        <v>rokwzgl=20 i lp=768</v>
      </c>
      <c r="Z92" s="27" t="str">
        <f t="shared" si="20"/>
        <v>rokwzgl=21 i lp=768</v>
      </c>
      <c r="AA92" s="27" t="str">
        <f t="shared" si="20"/>
        <v>rokwzgl=22 i lp=768</v>
      </c>
      <c r="AB92" s="27" t="str">
        <f t="shared" si="20"/>
        <v>rokwzgl=23 i lp=768</v>
      </c>
      <c r="AC92" s="27" t="str">
        <f t="shared" si="20"/>
        <v>rokwzgl=24 i lp=768</v>
      </c>
      <c r="AD92" s="27" t="str">
        <f t="shared" si="20"/>
        <v>rokwzgl=25 i lp=768</v>
      </c>
      <c r="AE92" s="27" t="str">
        <f t="shared" si="20"/>
        <v>rokwzgl=26 i lp=768</v>
      </c>
      <c r="AF92" s="27" t="str">
        <f t="shared" si="20"/>
        <v>rokwzgl=27 i lp=768</v>
      </c>
      <c r="AG92" s="27" t="str">
        <f t="shared" si="20"/>
        <v>rokwzgl=28 i lp=768</v>
      </c>
      <c r="AH92" s="27" t="str">
        <f t="shared" si="20"/>
        <v>rokwzgl=29 i lp=768</v>
      </c>
    </row>
    <row r="93" spans="1:34">
      <c r="A93" s="26">
        <v>769</v>
      </c>
      <c r="B93" s="26" t="s">
        <v>413</v>
      </c>
      <c r="C93" s="27" t="s">
        <v>414</v>
      </c>
      <c r="D93" s="27" t="str">
        <f t="shared" si="22"/>
        <v>rokwzgl=0 i lp=769</v>
      </c>
      <c r="E93" s="27" t="str">
        <f t="shared" si="22"/>
        <v>rokwzgl=0 i lp=769</v>
      </c>
      <c r="F93" s="27" t="str">
        <f t="shared" si="22"/>
        <v>rokwzgl=1 i lp=769</v>
      </c>
      <c r="G93" s="27" t="str">
        <f t="shared" si="22"/>
        <v>rokwzgl=2 i lp=769</v>
      </c>
      <c r="H93" s="27" t="str">
        <f t="shared" si="22"/>
        <v>rokwzgl=3 i lp=769</v>
      </c>
      <c r="I93" s="27" t="str">
        <f t="shared" si="22"/>
        <v>rokwzgl=4 i lp=769</v>
      </c>
      <c r="J93" s="27" t="str">
        <f t="shared" si="22"/>
        <v>rokwzgl=5 i lp=769</v>
      </c>
      <c r="K93" s="27" t="str">
        <f t="shared" si="22"/>
        <v>rokwzgl=6 i lp=769</v>
      </c>
      <c r="L93" s="27" t="str">
        <f t="shared" si="22"/>
        <v>rokwzgl=7 i lp=769</v>
      </c>
      <c r="M93" s="27" t="str">
        <f t="shared" si="22"/>
        <v>rokwzgl=8 i lp=769</v>
      </c>
      <c r="N93" s="27" t="str">
        <f t="shared" si="21"/>
        <v>rokwzgl=9 i lp=769</v>
      </c>
      <c r="O93" s="27" t="str">
        <f t="shared" si="21"/>
        <v>rokwzgl=10 i lp=769</v>
      </c>
      <c r="P93" s="27" t="str">
        <f t="shared" si="21"/>
        <v>rokwzgl=11 i lp=769</v>
      </c>
      <c r="Q93" s="27" t="str">
        <f t="shared" si="21"/>
        <v>rokwzgl=12 i lp=769</v>
      </c>
      <c r="R93" s="27" t="str">
        <f t="shared" si="21"/>
        <v>rokwzgl=13 i lp=769</v>
      </c>
      <c r="S93" s="27" t="str">
        <f t="shared" si="21"/>
        <v>rokwzgl=14 i lp=769</v>
      </c>
      <c r="T93" s="27" t="str">
        <f t="shared" si="21"/>
        <v>rokwzgl=15 i lp=769</v>
      </c>
      <c r="U93" s="27" t="str">
        <f t="shared" si="21"/>
        <v>rokwzgl=16 i lp=769</v>
      </c>
      <c r="V93" s="27" t="str">
        <f t="shared" si="21"/>
        <v>rokwzgl=17 i lp=769</v>
      </c>
      <c r="W93" s="27" t="str">
        <f t="shared" si="21"/>
        <v>rokwzgl=18 i lp=769</v>
      </c>
      <c r="X93" s="27" t="str">
        <f t="shared" si="20"/>
        <v>rokwzgl=19 i lp=769</v>
      </c>
      <c r="Y93" s="27" t="str">
        <f t="shared" si="20"/>
        <v>rokwzgl=20 i lp=769</v>
      </c>
      <c r="Z93" s="27" t="str">
        <f t="shared" si="20"/>
        <v>rokwzgl=21 i lp=769</v>
      </c>
      <c r="AA93" s="27" t="str">
        <f t="shared" si="20"/>
        <v>rokwzgl=22 i lp=769</v>
      </c>
      <c r="AB93" s="27" t="str">
        <f t="shared" si="20"/>
        <v>rokwzgl=23 i lp=769</v>
      </c>
      <c r="AC93" s="27" t="str">
        <f t="shared" si="20"/>
        <v>rokwzgl=24 i lp=769</v>
      </c>
      <c r="AD93" s="27" t="str">
        <f t="shared" si="20"/>
        <v>rokwzgl=25 i lp=769</v>
      </c>
      <c r="AE93" s="27" t="str">
        <f t="shared" si="20"/>
        <v>rokwzgl=26 i lp=769</v>
      </c>
      <c r="AF93" s="27" t="str">
        <f t="shared" si="20"/>
        <v>rokwzgl=27 i lp=769</v>
      </c>
      <c r="AG93" s="27" t="str">
        <f t="shared" si="20"/>
        <v>rokwzgl=28 i lp=769</v>
      </c>
      <c r="AH93" s="27" t="str">
        <f t="shared" si="20"/>
        <v>rokwzgl=29 i lp=769</v>
      </c>
    </row>
    <row r="94" spans="1:34">
      <c r="A94" s="26">
        <v>770</v>
      </c>
      <c r="B94" s="26" t="s">
        <v>415</v>
      </c>
      <c r="C94" s="27" t="s">
        <v>406</v>
      </c>
      <c r="D94" s="27" t="str">
        <f t="shared" si="22"/>
        <v>rokwzgl=0 i lp=770</v>
      </c>
      <c r="E94" s="27" t="str">
        <f t="shared" si="22"/>
        <v>rokwzgl=0 i lp=770</v>
      </c>
      <c r="F94" s="27" t="str">
        <f t="shared" si="22"/>
        <v>rokwzgl=1 i lp=770</v>
      </c>
      <c r="G94" s="27" t="str">
        <f t="shared" si="22"/>
        <v>rokwzgl=2 i lp=770</v>
      </c>
      <c r="H94" s="27" t="str">
        <f t="shared" si="22"/>
        <v>rokwzgl=3 i lp=770</v>
      </c>
      <c r="I94" s="27" t="str">
        <f t="shared" si="22"/>
        <v>rokwzgl=4 i lp=770</v>
      </c>
      <c r="J94" s="27" t="str">
        <f t="shared" si="22"/>
        <v>rokwzgl=5 i lp=770</v>
      </c>
      <c r="K94" s="27" t="str">
        <f t="shared" si="22"/>
        <v>rokwzgl=6 i lp=770</v>
      </c>
      <c r="L94" s="27" t="str">
        <f t="shared" si="22"/>
        <v>rokwzgl=7 i lp=770</v>
      </c>
      <c r="M94" s="27" t="str">
        <f t="shared" si="22"/>
        <v>rokwzgl=8 i lp=770</v>
      </c>
      <c r="N94" s="27" t="str">
        <f t="shared" si="21"/>
        <v>rokwzgl=9 i lp=770</v>
      </c>
      <c r="O94" s="27" t="str">
        <f t="shared" si="21"/>
        <v>rokwzgl=10 i lp=770</v>
      </c>
      <c r="P94" s="27" t="str">
        <f t="shared" si="21"/>
        <v>rokwzgl=11 i lp=770</v>
      </c>
      <c r="Q94" s="27" t="str">
        <f t="shared" si="21"/>
        <v>rokwzgl=12 i lp=770</v>
      </c>
      <c r="R94" s="27" t="str">
        <f t="shared" si="21"/>
        <v>rokwzgl=13 i lp=770</v>
      </c>
      <c r="S94" s="27" t="str">
        <f t="shared" si="21"/>
        <v>rokwzgl=14 i lp=770</v>
      </c>
      <c r="T94" s="27" t="str">
        <f t="shared" si="21"/>
        <v>rokwzgl=15 i lp=770</v>
      </c>
      <c r="U94" s="27" t="str">
        <f t="shared" si="21"/>
        <v>rokwzgl=16 i lp=770</v>
      </c>
      <c r="V94" s="27" t="str">
        <f t="shared" si="21"/>
        <v>rokwzgl=17 i lp=770</v>
      </c>
      <c r="W94" s="27" t="str">
        <f t="shared" si="21"/>
        <v>rokwzgl=18 i lp=770</v>
      </c>
      <c r="X94" s="27" t="str">
        <f t="shared" si="20"/>
        <v>rokwzgl=19 i lp=770</v>
      </c>
      <c r="Y94" s="27" t="str">
        <f t="shared" si="20"/>
        <v>rokwzgl=20 i lp=770</v>
      </c>
      <c r="Z94" s="27" t="str">
        <f t="shared" si="20"/>
        <v>rokwzgl=21 i lp=770</v>
      </c>
      <c r="AA94" s="27" t="str">
        <f t="shared" si="20"/>
        <v>rokwzgl=22 i lp=770</v>
      </c>
      <c r="AB94" s="27" t="str">
        <f t="shared" si="20"/>
        <v>rokwzgl=23 i lp=770</v>
      </c>
      <c r="AC94" s="27" t="str">
        <f t="shared" si="20"/>
        <v>rokwzgl=24 i lp=770</v>
      </c>
      <c r="AD94" s="27" t="str">
        <f t="shared" si="20"/>
        <v>rokwzgl=25 i lp=770</v>
      </c>
      <c r="AE94" s="27" t="str">
        <f t="shared" si="20"/>
        <v>rokwzgl=26 i lp=770</v>
      </c>
      <c r="AF94" s="27" t="str">
        <f t="shared" si="20"/>
        <v>rokwzgl=27 i lp=770</v>
      </c>
      <c r="AG94" s="27" t="str">
        <f t="shared" si="20"/>
        <v>rokwzgl=28 i lp=770</v>
      </c>
      <c r="AH94" s="27" t="str">
        <f t="shared" si="20"/>
        <v>rokwzgl=29 i lp=770</v>
      </c>
    </row>
    <row r="95" spans="1:34">
      <c r="A95" s="26">
        <v>790</v>
      </c>
      <c r="B95" s="26">
        <v>13</v>
      </c>
      <c r="C95" s="27" t="s">
        <v>118</v>
      </c>
      <c r="D95" s="27" t="str">
        <f t="shared" si="22"/>
        <v>rokwzgl=0 i lp=790</v>
      </c>
      <c r="E95" s="27" t="str">
        <f t="shared" si="22"/>
        <v>rokwzgl=0 i lp=790</v>
      </c>
      <c r="F95" s="27" t="str">
        <f t="shared" si="22"/>
        <v>rokwzgl=1 i lp=790</v>
      </c>
      <c r="G95" s="27" t="str">
        <f t="shared" si="22"/>
        <v>rokwzgl=2 i lp=790</v>
      </c>
      <c r="H95" s="27" t="str">
        <f t="shared" si="22"/>
        <v>rokwzgl=3 i lp=790</v>
      </c>
      <c r="I95" s="27" t="str">
        <f t="shared" si="22"/>
        <v>rokwzgl=4 i lp=790</v>
      </c>
      <c r="J95" s="27" t="str">
        <f t="shared" si="22"/>
        <v>rokwzgl=5 i lp=790</v>
      </c>
      <c r="K95" s="27" t="str">
        <f t="shared" si="22"/>
        <v>rokwzgl=6 i lp=790</v>
      </c>
      <c r="L95" s="27" t="str">
        <f t="shared" si="22"/>
        <v>rokwzgl=7 i lp=790</v>
      </c>
      <c r="M95" s="27" t="str">
        <f t="shared" si="22"/>
        <v>rokwzgl=8 i lp=790</v>
      </c>
      <c r="N95" s="27" t="str">
        <f t="shared" si="21"/>
        <v>rokwzgl=9 i lp=790</v>
      </c>
      <c r="O95" s="27" t="str">
        <f t="shared" si="21"/>
        <v>rokwzgl=10 i lp=790</v>
      </c>
      <c r="P95" s="27" t="str">
        <f t="shared" si="21"/>
        <v>rokwzgl=11 i lp=790</v>
      </c>
      <c r="Q95" s="27" t="str">
        <f t="shared" si="21"/>
        <v>rokwzgl=12 i lp=790</v>
      </c>
      <c r="R95" s="27" t="str">
        <f t="shared" si="21"/>
        <v>rokwzgl=13 i lp=790</v>
      </c>
      <c r="S95" s="27" t="str">
        <f t="shared" si="21"/>
        <v>rokwzgl=14 i lp=790</v>
      </c>
      <c r="T95" s="27" t="str">
        <f t="shared" si="21"/>
        <v>rokwzgl=15 i lp=790</v>
      </c>
      <c r="U95" s="27" t="str">
        <f t="shared" si="21"/>
        <v>rokwzgl=16 i lp=790</v>
      </c>
      <c r="V95" s="27" t="str">
        <f t="shared" si="21"/>
        <v>rokwzgl=17 i lp=790</v>
      </c>
      <c r="W95" s="27" t="str">
        <f t="shared" si="21"/>
        <v>rokwzgl=18 i lp=790</v>
      </c>
      <c r="X95" s="27" t="str">
        <f t="shared" si="20"/>
        <v>rokwzgl=19 i lp=790</v>
      </c>
      <c r="Y95" s="27" t="str">
        <f t="shared" si="20"/>
        <v>rokwzgl=20 i lp=790</v>
      </c>
      <c r="Z95" s="27" t="str">
        <f t="shared" si="20"/>
        <v>rokwzgl=21 i lp=790</v>
      </c>
      <c r="AA95" s="27" t="str">
        <f t="shared" si="20"/>
        <v>rokwzgl=22 i lp=790</v>
      </c>
      <c r="AB95" s="27" t="str">
        <f t="shared" si="20"/>
        <v>rokwzgl=23 i lp=790</v>
      </c>
      <c r="AC95" s="27" t="str">
        <f t="shared" si="20"/>
        <v>rokwzgl=24 i lp=790</v>
      </c>
      <c r="AD95" s="27" t="str">
        <f t="shared" si="20"/>
        <v>rokwzgl=25 i lp=790</v>
      </c>
      <c r="AE95" s="27" t="str">
        <f t="shared" si="20"/>
        <v>rokwzgl=26 i lp=790</v>
      </c>
      <c r="AF95" s="27" t="str">
        <f t="shared" si="20"/>
        <v>rokwzgl=27 i lp=790</v>
      </c>
      <c r="AG95" s="27" t="str">
        <f t="shared" si="20"/>
        <v>rokwzgl=28 i lp=790</v>
      </c>
      <c r="AH95" s="27" t="str">
        <f t="shared" si="20"/>
        <v>rokwzgl=29 i lp=790</v>
      </c>
    </row>
    <row r="96" spans="1:34">
      <c r="A96" s="26">
        <v>800</v>
      </c>
      <c r="B96" s="26" t="s">
        <v>168</v>
      </c>
      <c r="C96" s="27" t="s">
        <v>119</v>
      </c>
      <c r="D96" s="27" t="str">
        <f t="shared" si="22"/>
        <v>rokwzgl=0 i lp=800</v>
      </c>
      <c r="E96" s="27" t="str">
        <f t="shared" si="22"/>
        <v>rokwzgl=0 i lp=800</v>
      </c>
      <c r="F96" s="27" t="str">
        <f t="shared" si="22"/>
        <v>rokwzgl=1 i lp=800</v>
      </c>
      <c r="G96" s="27" t="str">
        <f t="shared" si="22"/>
        <v>rokwzgl=2 i lp=800</v>
      </c>
      <c r="H96" s="27" t="str">
        <f t="shared" si="22"/>
        <v>rokwzgl=3 i lp=800</v>
      </c>
      <c r="I96" s="27" t="str">
        <f t="shared" si="22"/>
        <v>rokwzgl=4 i lp=800</v>
      </c>
      <c r="J96" s="27" t="str">
        <f t="shared" si="22"/>
        <v>rokwzgl=5 i lp=800</v>
      </c>
      <c r="K96" s="27" t="str">
        <f t="shared" si="22"/>
        <v>rokwzgl=6 i lp=800</v>
      </c>
      <c r="L96" s="27" t="str">
        <f t="shared" si="22"/>
        <v>rokwzgl=7 i lp=800</v>
      </c>
      <c r="M96" s="27" t="str">
        <f t="shared" si="22"/>
        <v>rokwzgl=8 i lp=800</v>
      </c>
      <c r="N96" s="27" t="str">
        <f t="shared" si="21"/>
        <v>rokwzgl=9 i lp=800</v>
      </c>
      <c r="O96" s="27" t="str">
        <f t="shared" si="21"/>
        <v>rokwzgl=10 i lp=800</v>
      </c>
      <c r="P96" s="27" t="str">
        <f t="shared" si="21"/>
        <v>rokwzgl=11 i lp=800</v>
      </c>
      <c r="Q96" s="27" t="str">
        <f t="shared" si="21"/>
        <v>rokwzgl=12 i lp=800</v>
      </c>
      <c r="R96" s="27" t="str">
        <f t="shared" si="21"/>
        <v>rokwzgl=13 i lp=800</v>
      </c>
      <c r="S96" s="27" t="str">
        <f t="shared" si="21"/>
        <v>rokwzgl=14 i lp=800</v>
      </c>
      <c r="T96" s="27" t="str">
        <f t="shared" si="21"/>
        <v>rokwzgl=15 i lp=800</v>
      </c>
      <c r="U96" s="27" t="str">
        <f t="shared" si="21"/>
        <v>rokwzgl=16 i lp=800</v>
      </c>
      <c r="V96" s="27" t="str">
        <f t="shared" si="21"/>
        <v>rokwzgl=17 i lp=800</v>
      </c>
      <c r="W96" s="27" t="str">
        <f t="shared" si="21"/>
        <v>rokwzgl=18 i lp=800</v>
      </c>
      <c r="X96" s="27" t="str">
        <f t="shared" si="20"/>
        <v>rokwzgl=19 i lp=800</v>
      </c>
      <c r="Y96" s="27" t="str">
        <f t="shared" si="20"/>
        <v>rokwzgl=20 i lp=800</v>
      </c>
      <c r="Z96" s="27" t="str">
        <f t="shared" si="20"/>
        <v>rokwzgl=21 i lp=800</v>
      </c>
      <c r="AA96" s="27" t="str">
        <f t="shared" si="20"/>
        <v>rokwzgl=22 i lp=800</v>
      </c>
      <c r="AB96" s="27" t="str">
        <f t="shared" si="20"/>
        <v>rokwzgl=23 i lp=800</v>
      </c>
      <c r="AC96" s="27" t="str">
        <f t="shared" si="20"/>
        <v>rokwzgl=24 i lp=800</v>
      </c>
      <c r="AD96" s="27" t="str">
        <f t="shared" si="20"/>
        <v>rokwzgl=25 i lp=800</v>
      </c>
      <c r="AE96" s="27" t="str">
        <f t="shared" si="20"/>
        <v>rokwzgl=26 i lp=800</v>
      </c>
      <c r="AF96" s="27" t="str">
        <f t="shared" si="20"/>
        <v>rokwzgl=27 i lp=800</v>
      </c>
      <c r="AG96" s="27" t="str">
        <f t="shared" si="20"/>
        <v>rokwzgl=28 i lp=800</v>
      </c>
      <c r="AH96" s="27" t="str">
        <f t="shared" si="20"/>
        <v>rokwzgl=29 i lp=800</v>
      </c>
    </row>
    <row r="97" spans="1:34">
      <c r="A97" s="26">
        <v>810</v>
      </c>
      <c r="B97" s="26" t="s">
        <v>169</v>
      </c>
      <c r="C97" s="27" t="s">
        <v>120</v>
      </c>
      <c r="D97" s="27" t="str">
        <f t="shared" si="22"/>
        <v>rokwzgl=0 i lp=810</v>
      </c>
      <c r="E97" s="27" t="str">
        <f t="shared" si="22"/>
        <v>rokwzgl=0 i lp=810</v>
      </c>
      <c r="F97" s="27" t="str">
        <f t="shared" si="22"/>
        <v>rokwzgl=1 i lp=810</v>
      </c>
      <c r="G97" s="27" t="str">
        <f t="shared" si="22"/>
        <v>rokwzgl=2 i lp=810</v>
      </c>
      <c r="H97" s="27" t="str">
        <f t="shared" si="22"/>
        <v>rokwzgl=3 i lp=810</v>
      </c>
      <c r="I97" s="27" t="str">
        <f t="shared" si="22"/>
        <v>rokwzgl=4 i lp=810</v>
      </c>
      <c r="J97" s="27" t="str">
        <f t="shared" si="22"/>
        <v>rokwzgl=5 i lp=810</v>
      </c>
      <c r="K97" s="27" t="str">
        <f t="shared" si="22"/>
        <v>rokwzgl=6 i lp=810</v>
      </c>
      <c r="L97" s="27" t="str">
        <f t="shared" si="22"/>
        <v>rokwzgl=7 i lp=810</v>
      </c>
      <c r="M97" s="27" t="str">
        <f t="shared" si="22"/>
        <v>rokwzgl=8 i lp=810</v>
      </c>
      <c r="N97" s="27" t="str">
        <f t="shared" si="21"/>
        <v>rokwzgl=9 i lp=810</v>
      </c>
      <c r="O97" s="27" t="str">
        <f t="shared" si="21"/>
        <v>rokwzgl=10 i lp=810</v>
      </c>
      <c r="P97" s="27" t="str">
        <f t="shared" si="21"/>
        <v>rokwzgl=11 i lp=810</v>
      </c>
      <c r="Q97" s="27" t="str">
        <f t="shared" si="21"/>
        <v>rokwzgl=12 i lp=810</v>
      </c>
      <c r="R97" s="27" t="str">
        <f t="shared" si="21"/>
        <v>rokwzgl=13 i lp=810</v>
      </c>
      <c r="S97" s="27" t="str">
        <f t="shared" si="21"/>
        <v>rokwzgl=14 i lp=810</v>
      </c>
      <c r="T97" s="27" t="str">
        <f t="shared" si="21"/>
        <v>rokwzgl=15 i lp=810</v>
      </c>
      <c r="U97" s="27" t="str">
        <f t="shared" si="21"/>
        <v>rokwzgl=16 i lp=810</v>
      </c>
      <c r="V97" s="27" t="str">
        <f t="shared" si="21"/>
        <v>rokwzgl=17 i lp=810</v>
      </c>
      <c r="W97" s="27" t="str">
        <f t="shared" si="21"/>
        <v>rokwzgl=18 i lp=810</v>
      </c>
      <c r="X97" s="27" t="str">
        <f t="shared" si="20"/>
        <v>rokwzgl=19 i lp=810</v>
      </c>
      <c r="Y97" s="27" t="str">
        <f t="shared" si="20"/>
        <v>rokwzgl=20 i lp=810</v>
      </c>
      <c r="Z97" s="27" t="str">
        <f t="shared" si="20"/>
        <v>rokwzgl=21 i lp=810</v>
      </c>
      <c r="AA97" s="27" t="str">
        <f t="shared" si="20"/>
        <v>rokwzgl=22 i lp=810</v>
      </c>
      <c r="AB97" s="27" t="str">
        <f t="shared" si="20"/>
        <v>rokwzgl=23 i lp=810</v>
      </c>
      <c r="AC97" s="27" t="str">
        <f t="shared" si="20"/>
        <v>rokwzgl=24 i lp=810</v>
      </c>
      <c r="AD97" s="27" t="str">
        <f t="shared" si="20"/>
        <v>rokwzgl=25 i lp=810</v>
      </c>
      <c r="AE97" s="27" t="str">
        <f t="shared" si="20"/>
        <v>rokwzgl=26 i lp=810</v>
      </c>
      <c r="AF97" s="27" t="str">
        <f t="shared" si="20"/>
        <v>rokwzgl=27 i lp=810</v>
      </c>
      <c r="AG97" s="27" t="str">
        <f t="shared" si="20"/>
        <v>rokwzgl=28 i lp=810</v>
      </c>
      <c r="AH97" s="27" t="str">
        <f t="shared" si="20"/>
        <v>rokwzgl=29 i lp=810</v>
      </c>
    </row>
    <row r="98" spans="1:34">
      <c r="A98" s="26">
        <v>820</v>
      </c>
      <c r="B98" s="26" t="s">
        <v>170</v>
      </c>
      <c r="C98" s="27" t="s">
        <v>121</v>
      </c>
      <c r="D98" s="27" t="str">
        <f t="shared" si="22"/>
        <v>rokwzgl=0 i lp=820</v>
      </c>
      <c r="E98" s="27" t="str">
        <f t="shared" si="22"/>
        <v>rokwzgl=0 i lp=820</v>
      </c>
      <c r="F98" s="27" t="str">
        <f t="shared" si="22"/>
        <v>rokwzgl=1 i lp=820</v>
      </c>
      <c r="G98" s="27" t="str">
        <f t="shared" si="22"/>
        <v>rokwzgl=2 i lp=820</v>
      </c>
      <c r="H98" s="27" t="str">
        <f t="shared" si="22"/>
        <v>rokwzgl=3 i lp=820</v>
      </c>
      <c r="I98" s="27" t="str">
        <f t="shared" si="22"/>
        <v>rokwzgl=4 i lp=820</v>
      </c>
      <c r="J98" s="27" t="str">
        <f t="shared" si="22"/>
        <v>rokwzgl=5 i lp=820</v>
      </c>
      <c r="K98" s="27" t="str">
        <f t="shared" si="22"/>
        <v>rokwzgl=6 i lp=820</v>
      </c>
      <c r="L98" s="27" t="str">
        <f t="shared" si="22"/>
        <v>rokwzgl=7 i lp=820</v>
      </c>
      <c r="M98" s="27" t="str">
        <f t="shared" si="22"/>
        <v>rokwzgl=8 i lp=820</v>
      </c>
      <c r="N98" s="27" t="str">
        <f t="shared" si="21"/>
        <v>rokwzgl=9 i lp=820</v>
      </c>
      <c r="O98" s="27" t="str">
        <f t="shared" si="21"/>
        <v>rokwzgl=10 i lp=820</v>
      </c>
      <c r="P98" s="27" t="str">
        <f t="shared" si="21"/>
        <v>rokwzgl=11 i lp=820</v>
      </c>
      <c r="Q98" s="27" t="str">
        <f t="shared" si="21"/>
        <v>rokwzgl=12 i lp=820</v>
      </c>
      <c r="R98" s="27" t="str">
        <f t="shared" si="21"/>
        <v>rokwzgl=13 i lp=820</v>
      </c>
      <c r="S98" s="27" t="str">
        <f t="shared" si="21"/>
        <v>rokwzgl=14 i lp=820</v>
      </c>
      <c r="T98" s="27" t="str">
        <f t="shared" si="21"/>
        <v>rokwzgl=15 i lp=820</v>
      </c>
      <c r="U98" s="27" t="str">
        <f t="shared" si="21"/>
        <v>rokwzgl=16 i lp=820</v>
      </c>
      <c r="V98" s="27" t="str">
        <f t="shared" si="21"/>
        <v>rokwzgl=17 i lp=820</v>
      </c>
      <c r="W98" s="27" t="str">
        <f t="shared" si="21"/>
        <v>rokwzgl=18 i lp=820</v>
      </c>
      <c r="X98" s="27" t="str">
        <f t="shared" si="20"/>
        <v>rokwzgl=19 i lp=820</v>
      </c>
      <c r="Y98" s="27" t="str">
        <f t="shared" si="20"/>
        <v>rokwzgl=20 i lp=820</v>
      </c>
      <c r="Z98" s="27" t="str">
        <f t="shared" si="20"/>
        <v>rokwzgl=21 i lp=820</v>
      </c>
      <c r="AA98" s="27" t="str">
        <f t="shared" si="20"/>
        <v>rokwzgl=22 i lp=820</v>
      </c>
      <c r="AB98" s="27" t="str">
        <f t="shared" si="20"/>
        <v>rokwzgl=23 i lp=820</v>
      </c>
      <c r="AC98" s="27" t="str">
        <f t="shared" si="20"/>
        <v>rokwzgl=24 i lp=820</v>
      </c>
      <c r="AD98" s="27" t="str">
        <f t="shared" si="20"/>
        <v>rokwzgl=25 i lp=820</v>
      </c>
      <c r="AE98" s="27" t="str">
        <f t="shared" si="20"/>
        <v>rokwzgl=26 i lp=820</v>
      </c>
      <c r="AF98" s="27" t="str">
        <f t="shared" si="20"/>
        <v>rokwzgl=27 i lp=820</v>
      </c>
      <c r="AG98" s="27" t="str">
        <f t="shared" si="20"/>
        <v>rokwzgl=28 i lp=820</v>
      </c>
      <c r="AH98" s="27" t="str">
        <f t="shared" si="20"/>
        <v>rokwzgl=29 i lp=820</v>
      </c>
    </row>
    <row r="99" spans="1:34">
      <c r="A99" s="26">
        <v>830</v>
      </c>
      <c r="B99" s="26" t="s">
        <v>171</v>
      </c>
      <c r="C99" s="27" t="s">
        <v>122</v>
      </c>
      <c r="D99" s="27" t="str">
        <f t="shared" si="22"/>
        <v>rokwzgl=0 i lp=830</v>
      </c>
      <c r="E99" s="27" t="str">
        <f t="shared" si="22"/>
        <v>rokwzgl=0 i lp=830</v>
      </c>
      <c r="F99" s="27" t="str">
        <f t="shared" si="22"/>
        <v>rokwzgl=1 i lp=830</v>
      </c>
      <c r="G99" s="27" t="str">
        <f t="shared" si="22"/>
        <v>rokwzgl=2 i lp=830</v>
      </c>
      <c r="H99" s="27" t="str">
        <f t="shared" si="22"/>
        <v>rokwzgl=3 i lp=830</v>
      </c>
      <c r="I99" s="27" t="str">
        <f t="shared" si="22"/>
        <v>rokwzgl=4 i lp=830</v>
      </c>
      <c r="J99" s="27" t="str">
        <f t="shared" si="22"/>
        <v>rokwzgl=5 i lp=830</v>
      </c>
      <c r="K99" s="27" t="str">
        <f t="shared" si="22"/>
        <v>rokwzgl=6 i lp=830</v>
      </c>
      <c r="L99" s="27" t="str">
        <f t="shared" si="22"/>
        <v>rokwzgl=7 i lp=830</v>
      </c>
      <c r="M99" s="27" t="str">
        <f t="shared" si="22"/>
        <v>rokwzgl=8 i lp=830</v>
      </c>
      <c r="N99" s="27" t="str">
        <f t="shared" si="21"/>
        <v>rokwzgl=9 i lp=830</v>
      </c>
      <c r="O99" s="27" t="str">
        <f t="shared" si="21"/>
        <v>rokwzgl=10 i lp=830</v>
      </c>
      <c r="P99" s="27" t="str">
        <f t="shared" si="21"/>
        <v>rokwzgl=11 i lp=830</v>
      </c>
      <c r="Q99" s="27" t="str">
        <f t="shared" si="21"/>
        <v>rokwzgl=12 i lp=830</v>
      </c>
      <c r="R99" s="27" t="str">
        <f t="shared" si="21"/>
        <v>rokwzgl=13 i lp=830</v>
      </c>
      <c r="S99" s="27" t="str">
        <f t="shared" si="21"/>
        <v>rokwzgl=14 i lp=830</v>
      </c>
      <c r="T99" s="27" t="str">
        <f t="shared" si="21"/>
        <v>rokwzgl=15 i lp=830</v>
      </c>
      <c r="U99" s="27" t="str">
        <f t="shared" si="21"/>
        <v>rokwzgl=16 i lp=830</v>
      </c>
      <c r="V99" s="27" t="str">
        <f t="shared" si="21"/>
        <v>rokwzgl=17 i lp=830</v>
      </c>
      <c r="W99" s="27" t="str">
        <f t="shared" si="21"/>
        <v>rokwzgl=18 i lp=830</v>
      </c>
      <c r="X99" s="27" t="str">
        <f t="shared" si="20"/>
        <v>rokwzgl=19 i lp=830</v>
      </c>
      <c r="Y99" s="27" t="str">
        <f t="shared" si="20"/>
        <v>rokwzgl=20 i lp=830</v>
      </c>
      <c r="Z99" s="27" t="str">
        <f t="shared" si="20"/>
        <v>rokwzgl=21 i lp=830</v>
      </c>
      <c r="AA99" s="27" t="str">
        <f t="shared" si="20"/>
        <v>rokwzgl=22 i lp=830</v>
      </c>
      <c r="AB99" s="27" t="str">
        <f t="shared" si="20"/>
        <v>rokwzgl=23 i lp=830</v>
      </c>
      <c r="AC99" s="27" t="str">
        <f t="shared" si="20"/>
        <v>rokwzgl=24 i lp=830</v>
      </c>
      <c r="AD99" s="27" t="str">
        <f t="shared" si="20"/>
        <v>rokwzgl=25 i lp=830</v>
      </c>
      <c r="AE99" s="27" t="str">
        <f t="shared" si="20"/>
        <v>rokwzgl=26 i lp=830</v>
      </c>
      <c r="AF99" s="27" t="str">
        <f t="shared" si="20"/>
        <v>rokwzgl=27 i lp=830</v>
      </c>
      <c r="AG99" s="27" t="str">
        <f t="shared" si="20"/>
        <v>rokwzgl=28 i lp=830</v>
      </c>
      <c r="AH99" s="27" t="str">
        <f t="shared" si="20"/>
        <v>rokwzgl=29 i lp=830</v>
      </c>
    </row>
    <row r="100" spans="1:34">
      <c r="A100" s="26">
        <v>840</v>
      </c>
      <c r="B100" s="26" t="s">
        <v>172</v>
      </c>
      <c r="C100" s="27" t="s">
        <v>123</v>
      </c>
      <c r="D100" s="27" t="str">
        <f t="shared" si="22"/>
        <v>rokwzgl=0 i lp=840</v>
      </c>
      <c r="E100" s="27" t="str">
        <f t="shared" si="22"/>
        <v>rokwzgl=0 i lp=840</v>
      </c>
      <c r="F100" s="27" t="str">
        <f t="shared" si="22"/>
        <v>rokwzgl=1 i lp=840</v>
      </c>
      <c r="G100" s="27" t="str">
        <f t="shared" si="22"/>
        <v>rokwzgl=2 i lp=840</v>
      </c>
      <c r="H100" s="27" t="str">
        <f t="shared" si="22"/>
        <v>rokwzgl=3 i lp=840</v>
      </c>
      <c r="I100" s="27" t="str">
        <f t="shared" si="22"/>
        <v>rokwzgl=4 i lp=840</v>
      </c>
      <c r="J100" s="27" t="str">
        <f t="shared" si="22"/>
        <v>rokwzgl=5 i lp=840</v>
      </c>
      <c r="K100" s="27" t="str">
        <f t="shared" si="22"/>
        <v>rokwzgl=6 i lp=840</v>
      </c>
      <c r="L100" s="27" t="str">
        <f t="shared" si="22"/>
        <v>rokwzgl=7 i lp=840</v>
      </c>
      <c r="M100" s="27" t="str">
        <f t="shared" si="22"/>
        <v>rokwzgl=8 i lp=840</v>
      </c>
      <c r="N100" s="27" t="str">
        <f t="shared" si="21"/>
        <v>rokwzgl=9 i lp=840</v>
      </c>
      <c r="O100" s="27" t="str">
        <f t="shared" si="21"/>
        <v>rokwzgl=10 i lp=840</v>
      </c>
      <c r="P100" s="27" t="str">
        <f t="shared" si="21"/>
        <v>rokwzgl=11 i lp=840</v>
      </c>
      <c r="Q100" s="27" t="str">
        <f t="shared" si="21"/>
        <v>rokwzgl=12 i lp=840</v>
      </c>
      <c r="R100" s="27" t="str">
        <f t="shared" si="21"/>
        <v>rokwzgl=13 i lp=840</v>
      </c>
      <c r="S100" s="27" t="str">
        <f t="shared" si="21"/>
        <v>rokwzgl=14 i lp=840</v>
      </c>
      <c r="T100" s="27" t="str">
        <f t="shared" si="21"/>
        <v>rokwzgl=15 i lp=840</v>
      </c>
      <c r="U100" s="27" t="str">
        <f t="shared" si="21"/>
        <v>rokwzgl=16 i lp=840</v>
      </c>
      <c r="V100" s="27" t="str">
        <f t="shared" si="21"/>
        <v>rokwzgl=17 i lp=840</v>
      </c>
      <c r="W100" s="27" t="str">
        <f t="shared" si="21"/>
        <v>rokwzgl=18 i lp=840</v>
      </c>
      <c r="X100" s="27" t="str">
        <f t="shared" si="20"/>
        <v>rokwzgl=19 i lp=840</v>
      </c>
      <c r="Y100" s="27" t="str">
        <f t="shared" ref="X100:AH114" si="23">+"rokwzgl="&amp;Y$9&amp;" i lp="&amp;$A100</f>
        <v>rokwzgl=20 i lp=840</v>
      </c>
      <c r="Z100" s="27" t="str">
        <f t="shared" si="23"/>
        <v>rokwzgl=21 i lp=840</v>
      </c>
      <c r="AA100" s="27" t="str">
        <f t="shared" si="23"/>
        <v>rokwzgl=22 i lp=840</v>
      </c>
      <c r="AB100" s="27" t="str">
        <f t="shared" si="23"/>
        <v>rokwzgl=23 i lp=840</v>
      </c>
      <c r="AC100" s="27" t="str">
        <f t="shared" si="23"/>
        <v>rokwzgl=24 i lp=840</v>
      </c>
      <c r="AD100" s="27" t="str">
        <f t="shared" si="23"/>
        <v>rokwzgl=25 i lp=840</v>
      </c>
      <c r="AE100" s="27" t="str">
        <f t="shared" si="23"/>
        <v>rokwzgl=26 i lp=840</v>
      </c>
      <c r="AF100" s="27" t="str">
        <f t="shared" si="23"/>
        <v>rokwzgl=27 i lp=840</v>
      </c>
      <c r="AG100" s="27" t="str">
        <f t="shared" si="23"/>
        <v>rokwzgl=28 i lp=840</v>
      </c>
      <c r="AH100" s="27" t="str">
        <f t="shared" si="23"/>
        <v>rokwzgl=29 i lp=840</v>
      </c>
    </row>
    <row r="101" spans="1:34">
      <c r="A101" s="26">
        <v>850</v>
      </c>
      <c r="B101" s="26" t="s">
        <v>173</v>
      </c>
      <c r="C101" s="27" t="s">
        <v>124</v>
      </c>
      <c r="D101" s="27" t="str">
        <f t="shared" si="22"/>
        <v>rokwzgl=0 i lp=850</v>
      </c>
      <c r="E101" s="27" t="str">
        <f t="shared" si="22"/>
        <v>rokwzgl=0 i lp=850</v>
      </c>
      <c r="F101" s="27" t="str">
        <f t="shared" si="22"/>
        <v>rokwzgl=1 i lp=850</v>
      </c>
      <c r="G101" s="27" t="str">
        <f t="shared" si="22"/>
        <v>rokwzgl=2 i lp=850</v>
      </c>
      <c r="H101" s="27" t="str">
        <f t="shared" si="22"/>
        <v>rokwzgl=3 i lp=850</v>
      </c>
      <c r="I101" s="27" t="str">
        <f t="shared" si="22"/>
        <v>rokwzgl=4 i lp=850</v>
      </c>
      <c r="J101" s="27" t="str">
        <f t="shared" si="22"/>
        <v>rokwzgl=5 i lp=850</v>
      </c>
      <c r="K101" s="27" t="str">
        <f t="shared" si="22"/>
        <v>rokwzgl=6 i lp=850</v>
      </c>
      <c r="L101" s="27" t="str">
        <f t="shared" si="22"/>
        <v>rokwzgl=7 i lp=850</v>
      </c>
      <c r="M101" s="27" t="str">
        <f t="shared" si="22"/>
        <v>rokwzgl=8 i lp=850</v>
      </c>
      <c r="N101" s="27" t="str">
        <f t="shared" si="21"/>
        <v>rokwzgl=9 i lp=850</v>
      </c>
      <c r="O101" s="27" t="str">
        <f t="shared" si="21"/>
        <v>rokwzgl=10 i lp=850</v>
      </c>
      <c r="P101" s="27" t="str">
        <f t="shared" si="21"/>
        <v>rokwzgl=11 i lp=850</v>
      </c>
      <c r="Q101" s="27" t="str">
        <f t="shared" si="21"/>
        <v>rokwzgl=12 i lp=850</v>
      </c>
      <c r="R101" s="27" t="str">
        <f t="shared" si="21"/>
        <v>rokwzgl=13 i lp=850</v>
      </c>
      <c r="S101" s="27" t="str">
        <f t="shared" si="21"/>
        <v>rokwzgl=14 i lp=850</v>
      </c>
      <c r="T101" s="27" t="str">
        <f t="shared" si="21"/>
        <v>rokwzgl=15 i lp=850</v>
      </c>
      <c r="U101" s="27" t="str">
        <f t="shared" si="21"/>
        <v>rokwzgl=16 i lp=850</v>
      </c>
      <c r="V101" s="27" t="str">
        <f t="shared" si="21"/>
        <v>rokwzgl=17 i lp=850</v>
      </c>
      <c r="W101" s="27" t="str">
        <f t="shared" si="21"/>
        <v>rokwzgl=18 i lp=850</v>
      </c>
      <c r="X101" s="27" t="str">
        <f t="shared" si="23"/>
        <v>rokwzgl=19 i lp=850</v>
      </c>
      <c r="Y101" s="27" t="str">
        <f t="shared" si="23"/>
        <v>rokwzgl=20 i lp=850</v>
      </c>
      <c r="Z101" s="27" t="str">
        <f t="shared" si="23"/>
        <v>rokwzgl=21 i lp=850</v>
      </c>
      <c r="AA101" s="27" t="str">
        <f t="shared" si="23"/>
        <v>rokwzgl=22 i lp=850</v>
      </c>
      <c r="AB101" s="27" t="str">
        <f t="shared" si="23"/>
        <v>rokwzgl=23 i lp=850</v>
      </c>
      <c r="AC101" s="27" t="str">
        <f t="shared" si="23"/>
        <v>rokwzgl=24 i lp=850</v>
      </c>
      <c r="AD101" s="27" t="str">
        <f t="shared" si="23"/>
        <v>rokwzgl=25 i lp=850</v>
      </c>
      <c r="AE101" s="27" t="str">
        <f t="shared" si="23"/>
        <v>rokwzgl=26 i lp=850</v>
      </c>
      <c r="AF101" s="27" t="str">
        <f t="shared" si="23"/>
        <v>rokwzgl=27 i lp=850</v>
      </c>
      <c r="AG101" s="27" t="str">
        <f t="shared" si="23"/>
        <v>rokwzgl=28 i lp=850</v>
      </c>
      <c r="AH101" s="27" t="str">
        <f t="shared" si="23"/>
        <v>rokwzgl=29 i lp=850</v>
      </c>
    </row>
    <row r="102" spans="1:34">
      <c r="A102" s="26">
        <v>860</v>
      </c>
      <c r="B102" s="26" t="s">
        <v>174</v>
      </c>
      <c r="C102" s="27" t="s">
        <v>125</v>
      </c>
      <c r="D102" s="27" t="str">
        <f t="shared" si="22"/>
        <v>rokwzgl=0 i lp=860</v>
      </c>
      <c r="E102" s="27" t="str">
        <f t="shared" si="22"/>
        <v>rokwzgl=0 i lp=860</v>
      </c>
      <c r="F102" s="27" t="str">
        <f t="shared" si="22"/>
        <v>rokwzgl=1 i lp=860</v>
      </c>
      <c r="G102" s="27" t="str">
        <f t="shared" si="22"/>
        <v>rokwzgl=2 i lp=860</v>
      </c>
      <c r="H102" s="27" t="str">
        <f t="shared" si="22"/>
        <v>rokwzgl=3 i lp=860</v>
      </c>
      <c r="I102" s="27" t="str">
        <f t="shared" si="22"/>
        <v>rokwzgl=4 i lp=860</v>
      </c>
      <c r="J102" s="27" t="str">
        <f t="shared" si="22"/>
        <v>rokwzgl=5 i lp=860</v>
      </c>
      <c r="K102" s="27" t="str">
        <f t="shared" si="22"/>
        <v>rokwzgl=6 i lp=860</v>
      </c>
      <c r="L102" s="27" t="str">
        <f t="shared" si="22"/>
        <v>rokwzgl=7 i lp=860</v>
      </c>
      <c r="M102" s="27" t="str">
        <f t="shared" si="22"/>
        <v>rokwzgl=8 i lp=860</v>
      </c>
      <c r="N102" s="27" t="str">
        <f t="shared" si="22"/>
        <v>rokwzgl=9 i lp=860</v>
      </c>
      <c r="O102" s="27" t="str">
        <f t="shared" si="22"/>
        <v>rokwzgl=10 i lp=860</v>
      </c>
      <c r="P102" s="27" t="str">
        <f t="shared" si="22"/>
        <v>rokwzgl=11 i lp=860</v>
      </c>
      <c r="Q102" s="27" t="str">
        <f t="shared" si="22"/>
        <v>rokwzgl=12 i lp=860</v>
      </c>
      <c r="R102" s="27" t="str">
        <f t="shared" si="22"/>
        <v>rokwzgl=13 i lp=860</v>
      </c>
      <c r="S102" s="27" t="str">
        <f t="shared" ref="N102:W114" si="24">+"rokwzgl="&amp;S$9&amp;" i lp="&amp;$A102</f>
        <v>rokwzgl=14 i lp=860</v>
      </c>
      <c r="T102" s="27" t="str">
        <f t="shared" si="24"/>
        <v>rokwzgl=15 i lp=860</v>
      </c>
      <c r="U102" s="27" t="str">
        <f t="shared" si="24"/>
        <v>rokwzgl=16 i lp=860</v>
      </c>
      <c r="V102" s="27" t="str">
        <f t="shared" si="24"/>
        <v>rokwzgl=17 i lp=860</v>
      </c>
      <c r="W102" s="27" t="str">
        <f t="shared" si="24"/>
        <v>rokwzgl=18 i lp=860</v>
      </c>
      <c r="X102" s="27" t="str">
        <f t="shared" si="23"/>
        <v>rokwzgl=19 i lp=860</v>
      </c>
      <c r="Y102" s="27" t="str">
        <f t="shared" si="23"/>
        <v>rokwzgl=20 i lp=860</v>
      </c>
      <c r="Z102" s="27" t="str">
        <f t="shared" si="23"/>
        <v>rokwzgl=21 i lp=860</v>
      </c>
      <c r="AA102" s="27" t="str">
        <f t="shared" si="23"/>
        <v>rokwzgl=22 i lp=860</v>
      </c>
      <c r="AB102" s="27" t="str">
        <f t="shared" si="23"/>
        <v>rokwzgl=23 i lp=860</v>
      </c>
      <c r="AC102" s="27" t="str">
        <f t="shared" si="23"/>
        <v>rokwzgl=24 i lp=860</v>
      </c>
      <c r="AD102" s="27" t="str">
        <f t="shared" si="23"/>
        <v>rokwzgl=25 i lp=860</v>
      </c>
      <c r="AE102" s="27" t="str">
        <f t="shared" si="23"/>
        <v>rokwzgl=26 i lp=860</v>
      </c>
      <c r="AF102" s="27" t="str">
        <f t="shared" si="23"/>
        <v>rokwzgl=27 i lp=860</v>
      </c>
      <c r="AG102" s="27" t="str">
        <f t="shared" si="23"/>
        <v>rokwzgl=28 i lp=860</v>
      </c>
      <c r="AH102" s="27" t="str">
        <f t="shared" si="23"/>
        <v>rokwzgl=29 i lp=860</v>
      </c>
    </row>
    <row r="103" spans="1:34">
      <c r="A103" s="26">
        <v>870</v>
      </c>
      <c r="B103" s="26">
        <v>14</v>
      </c>
      <c r="C103" s="27" t="s">
        <v>126</v>
      </c>
      <c r="D103" s="27" t="str">
        <f t="shared" ref="D103:M114" si="25">+"rokwzgl="&amp;D$9&amp;" i lp="&amp;$A103</f>
        <v>rokwzgl=0 i lp=870</v>
      </c>
      <c r="E103" s="27" t="str">
        <f t="shared" si="25"/>
        <v>rokwzgl=0 i lp=870</v>
      </c>
      <c r="F103" s="27" t="str">
        <f t="shared" si="25"/>
        <v>rokwzgl=1 i lp=870</v>
      </c>
      <c r="G103" s="27" t="str">
        <f t="shared" si="25"/>
        <v>rokwzgl=2 i lp=870</v>
      </c>
      <c r="H103" s="27" t="str">
        <f t="shared" si="25"/>
        <v>rokwzgl=3 i lp=870</v>
      </c>
      <c r="I103" s="27" t="str">
        <f t="shared" si="25"/>
        <v>rokwzgl=4 i lp=870</v>
      </c>
      <c r="J103" s="27" t="str">
        <f t="shared" si="25"/>
        <v>rokwzgl=5 i lp=870</v>
      </c>
      <c r="K103" s="27" t="str">
        <f t="shared" si="25"/>
        <v>rokwzgl=6 i lp=870</v>
      </c>
      <c r="L103" s="27" t="str">
        <f t="shared" si="25"/>
        <v>rokwzgl=7 i lp=870</v>
      </c>
      <c r="M103" s="27" t="str">
        <f t="shared" si="25"/>
        <v>rokwzgl=8 i lp=870</v>
      </c>
      <c r="N103" s="27" t="str">
        <f t="shared" si="24"/>
        <v>rokwzgl=9 i lp=870</v>
      </c>
      <c r="O103" s="27" t="str">
        <f t="shared" si="24"/>
        <v>rokwzgl=10 i lp=870</v>
      </c>
      <c r="P103" s="27" t="str">
        <f t="shared" si="24"/>
        <v>rokwzgl=11 i lp=870</v>
      </c>
      <c r="Q103" s="27" t="str">
        <f t="shared" si="24"/>
        <v>rokwzgl=12 i lp=870</v>
      </c>
      <c r="R103" s="27" t="str">
        <f t="shared" si="24"/>
        <v>rokwzgl=13 i lp=870</v>
      </c>
      <c r="S103" s="27" t="str">
        <f t="shared" si="24"/>
        <v>rokwzgl=14 i lp=870</v>
      </c>
      <c r="T103" s="27" t="str">
        <f t="shared" si="24"/>
        <v>rokwzgl=15 i lp=870</v>
      </c>
      <c r="U103" s="27" t="str">
        <f t="shared" si="24"/>
        <v>rokwzgl=16 i lp=870</v>
      </c>
      <c r="V103" s="27" t="str">
        <f t="shared" si="24"/>
        <v>rokwzgl=17 i lp=870</v>
      </c>
      <c r="W103" s="27" t="str">
        <f t="shared" si="24"/>
        <v>rokwzgl=18 i lp=870</v>
      </c>
      <c r="X103" s="27" t="str">
        <f t="shared" si="23"/>
        <v>rokwzgl=19 i lp=870</v>
      </c>
      <c r="Y103" s="27" t="str">
        <f t="shared" si="23"/>
        <v>rokwzgl=20 i lp=870</v>
      </c>
      <c r="Z103" s="27" t="str">
        <f t="shared" si="23"/>
        <v>rokwzgl=21 i lp=870</v>
      </c>
      <c r="AA103" s="27" t="str">
        <f t="shared" si="23"/>
        <v>rokwzgl=22 i lp=870</v>
      </c>
      <c r="AB103" s="27" t="str">
        <f t="shared" si="23"/>
        <v>rokwzgl=23 i lp=870</v>
      </c>
      <c r="AC103" s="27" t="str">
        <f t="shared" si="23"/>
        <v>rokwzgl=24 i lp=870</v>
      </c>
      <c r="AD103" s="27" t="str">
        <f t="shared" si="23"/>
        <v>rokwzgl=25 i lp=870</v>
      </c>
      <c r="AE103" s="27" t="str">
        <f t="shared" si="23"/>
        <v>rokwzgl=26 i lp=870</v>
      </c>
      <c r="AF103" s="27" t="str">
        <f t="shared" si="23"/>
        <v>rokwzgl=27 i lp=870</v>
      </c>
      <c r="AG103" s="27" t="str">
        <f t="shared" si="23"/>
        <v>rokwzgl=28 i lp=870</v>
      </c>
      <c r="AH103" s="27" t="str">
        <f t="shared" si="23"/>
        <v>rokwzgl=29 i lp=870</v>
      </c>
    </row>
    <row r="104" spans="1:34">
      <c r="A104" s="26">
        <v>880</v>
      </c>
      <c r="B104" s="26" t="s">
        <v>175</v>
      </c>
      <c r="C104" s="27" t="s">
        <v>127</v>
      </c>
      <c r="D104" s="27" t="str">
        <f t="shared" si="25"/>
        <v>rokwzgl=0 i lp=880</v>
      </c>
      <c r="E104" s="27" t="str">
        <f t="shared" si="25"/>
        <v>rokwzgl=0 i lp=880</v>
      </c>
      <c r="F104" s="27" t="str">
        <f t="shared" si="25"/>
        <v>rokwzgl=1 i lp=880</v>
      </c>
      <c r="G104" s="27" t="str">
        <f t="shared" si="25"/>
        <v>rokwzgl=2 i lp=880</v>
      </c>
      <c r="H104" s="27" t="str">
        <f t="shared" si="25"/>
        <v>rokwzgl=3 i lp=880</v>
      </c>
      <c r="I104" s="27" t="str">
        <f t="shared" si="25"/>
        <v>rokwzgl=4 i lp=880</v>
      </c>
      <c r="J104" s="27" t="str">
        <f t="shared" si="25"/>
        <v>rokwzgl=5 i lp=880</v>
      </c>
      <c r="K104" s="27" t="str">
        <f t="shared" si="25"/>
        <v>rokwzgl=6 i lp=880</v>
      </c>
      <c r="L104" s="27" t="str">
        <f t="shared" si="25"/>
        <v>rokwzgl=7 i lp=880</v>
      </c>
      <c r="M104" s="27" t="str">
        <f t="shared" si="25"/>
        <v>rokwzgl=8 i lp=880</v>
      </c>
      <c r="N104" s="27" t="str">
        <f t="shared" si="24"/>
        <v>rokwzgl=9 i lp=880</v>
      </c>
      <c r="O104" s="27" t="str">
        <f t="shared" si="24"/>
        <v>rokwzgl=10 i lp=880</v>
      </c>
      <c r="P104" s="27" t="str">
        <f t="shared" si="24"/>
        <v>rokwzgl=11 i lp=880</v>
      </c>
      <c r="Q104" s="27" t="str">
        <f t="shared" si="24"/>
        <v>rokwzgl=12 i lp=880</v>
      </c>
      <c r="R104" s="27" t="str">
        <f t="shared" si="24"/>
        <v>rokwzgl=13 i lp=880</v>
      </c>
      <c r="S104" s="27" t="str">
        <f t="shared" si="24"/>
        <v>rokwzgl=14 i lp=880</v>
      </c>
      <c r="T104" s="27" t="str">
        <f t="shared" si="24"/>
        <v>rokwzgl=15 i lp=880</v>
      </c>
      <c r="U104" s="27" t="str">
        <f t="shared" si="24"/>
        <v>rokwzgl=16 i lp=880</v>
      </c>
      <c r="V104" s="27" t="str">
        <f t="shared" si="24"/>
        <v>rokwzgl=17 i lp=880</v>
      </c>
      <c r="W104" s="27" t="str">
        <f t="shared" si="24"/>
        <v>rokwzgl=18 i lp=880</v>
      </c>
      <c r="X104" s="27" t="str">
        <f t="shared" si="23"/>
        <v>rokwzgl=19 i lp=880</v>
      </c>
      <c r="Y104" s="27" t="str">
        <f t="shared" si="23"/>
        <v>rokwzgl=20 i lp=880</v>
      </c>
      <c r="Z104" s="27" t="str">
        <f t="shared" si="23"/>
        <v>rokwzgl=21 i lp=880</v>
      </c>
      <c r="AA104" s="27" t="str">
        <f t="shared" si="23"/>
        <v>rokwzgl=22 i lp=880</v>
      </c>
      <c r="AB104" s="27" t="str">
        <f t="shared" si="23"/>
        <v>rokwzgl=23 i lp=880</v>
      </c>
      <c r="AC104" s="27" t="str">
        <f t="shared" si="23"/>
        <v>rokwzgl=24 i lp=880</v>
      </c>
      <c r="AD104" s="27" t="str">
        <f t="shared" si="23"/>
        <v>rokwzgl=25 i lp=880</v>
      </c>
      <c r="AE104" s="27" t="str">
        <f t="shared" si="23"/>
        <v>rokwzgl=26 i lp=880</v>
      </c>
      <c r="AF104" s="27" t="str">
        <f t="shared" si="23"/>
        <v>rokwzgl=27 i lp=880</v>
      </c>
      <c r="AG104" s="27" t="str">
        <f t="shared" si="23"/>
        <v>rokwzgl=28 i lp=880</v>
      </c>
      <c r="AH104" s="27" t="str">
        <f t="shared" si="23"/>
        <v>rokwzgl=29 i lp=880</v>
      </c>
    </row>
    <row r="105" spans="1:34">
      <c r="A105" s="26">
        <v>890</v>
      </c>
      <c r="B105" s="26" t="s">
        <v>176</v>
      </c>
      <c r="C105" s="27" t="s">
        <v>128</v>
      </c>
      <c r="D105" s="27" t="str">
        <f t="shared" si="25"/>
        <v>rokwzgl=0 i lp=890</v>
      </c>
      <c r="E105" s="27" t="str">
        <f t="shared" si="25"/>
        <v>rokwzgl=0 i lp=890</v>
      </c>
      <c r="F105" s="27" t="str">
        <f t="shared" si="25"/>
        <v>rokwzgl=1 i lp=890</v>
      </c>
      <c r="G105" s="27" t="str">
        <f t="shared" si="25"/>
        <v>rokwzgl=2 i lp=890</v>
      </c>
      <c r="H105" s="27" t="str">
        <f t="shared" si="25"/>
        <v>rokwzgl=3 i lp=890</v>
      </c>
      <c r="I105" s="27" t="str">
        <f t="shared" si="25"/>
        <v>rokwzgl=4 i lp=890</v>
      </c>
      <c r="J105" s="27" t="str">
        <f t="shared" si="25"/>
        <v>rokwzgl=5 i lp=890</v>
      </c>
      <c r="K105" s="27" t="str">
        <f t="shared" si="25"/>
        <v>rokwzgl=6 i lp=890</v>
      </c>
      <c r="L105" s="27" t="str">
        <f t="shared" si="25"/>
        <v>rokwzgl=7 i lp=890</v>
      </c>
      <c r="M105" s="27" t="str">
        <f t="shared" si="25"/>
        <v>rokwzgl=8 i lp=890</v>
      </c>
      <c r="N105" s="27" t="str">
        <f t="shared" si="24"/>
        <v>rokwzgl=9 i lp=890</v>
      </c>
      <c r="O105" s="27" t="str">
        <f t="shared" si="24"/>
        <v>rokwzgl=10 i lp=890</v>
      </c>
      <c r="P105" s="27" t="str">
        <f t="shared" si="24"/>
        <v>rokwzgl=11 i lp=890</v>
      </c>
      <c r="Q105" s="27" t="str">
        <f t="shared" si="24"/>
        <v>rokwzgl=12 i lp=890</v>
      </c>
      <c r="R105" s="27" t="str">
        <f t="shared" si="24"/>
        <v>rokwzgl=13 i lp=890</v>
      </c>
      <c r="S105" s="27" t="str">
        <f t="shared" si="24"/>
        <v>rokwzgl=14 i lp=890</v>
      </c>
      <c r="T105" s="27" t="str">
        <f t="shared" si="24"/>
        <v>rokwzgl=15 i lp=890</v>
      </c>
      <c r="U105" s="27" t="str">
        <f t="shared" si="24"/>
        <v>rokwzgl=16 i lp=890</v>
      </c>
      <c r="V105" s="27" t="str">
        <f t="shared" si="24"/>
        <v>rokwzgl=17 i lp=890</v>
      </c>
      <c r="W105" s="27" t="str">
        <f t="shared" si="24"/>
        <v>rokwzgl=18 i lp=890</v>
      </c>
      <c r="X105" s="27" t="str">
        <f t="shared" si="23"/>
        <v>rokwzgl=19 i lp=890</v>
      </c>
      <c r="Y105" s="27" t="str">
        <f t="shared" si="23"/>
        <v>rokwzgl=20 i lp=890</v>
      </c>
      <c r="Z105" s="27" t="str">
        <f t="shared" si="23"/>
        <v>rokwzgl=21 i lp=890</v>
      </c>
      <c r="AA105" s="27" t="str">
        <f t="shared" si="23"/>
        <v>rokwzgl=22 i lp=890</v>
      </c>
      <c r="AB105" s="27" t="str">
        <f t="shared" si="23"/>
        <v>rokwzgl=23 i lp=890</v>
      </c>
      <c r="AC105" s="27" t="str">
        <f t="shared" si="23"/>
        <v>rokwzgl=24 i lp=890</v>
      </c>
      <c r="AD105" s="27" t="str">
        <f t="shared" si="23"/>
        <v>rokwzgl=25 i lp=890</v>
      </c>
      <c r="AE105" s="27" t="str">
        <f t="shared" si="23"/>
        <v>rokwzgl=26 i lp=890</v>
      </c>
      <c r="AF105" s="27" t="str">
        <f t="shared" si="23"/>
        <v>rokwzgl=27 i lp=890</v>
      </c>
      <c r="AG105" s="27" t="str">
        <f t="shared" si="23"/>
        <v>rokwzgl=28 i lp=890</v>
      </c>
      <c r="AH105" s="27" t="str">
        <f t="shared" si="23"/>
        <v>rokwzgl=29 i lp=890</v>
      </c>
    </row>
    <row r="106" spans="1:34">
      <c r="A106" s="26">
        <v>900</v>
      </c>
      <c r="B106" s="26" t="s">
        <v>177</v>
      </c>
      <c r="C106" s="27" t="s">
        <v>129</v>
      </c>
      <c r="D106" s="27" t="str">
        <f t="shared" si="25"/>
        <v>rokwzgl=0 i lp=900</v>
      </c>
      <c r="E106" s="27" t="str">
        <f t="shared" si="25"/>
        <v>rokwzgl=0 i lp=900</v>
      </c>
      <c r="F106" s="27" t="str">
        <f t="shared" si="25"/>
        <v>rokwzgl=1 i lp=900</v>
      </c>
      <c r="G106" s="27" t="str">
        <f t="shared" si="25"/>
        <v>rokwzgl=2 i lp=900</v>
      </c>
      <c r="H106" s="27" t="str">
        <f t="shared" si="25"/>
        <v>rokwzgl=3 i lp=900</v>
      </c>
      <c r="I106" s="27" t="str">
        <f t="shared" si="25"/>
        <v>rokwzgl=4 i lp=900</v>
      </c>
      <c r="J106" s="27" t="str">
        <f t="shared" si="25"/>
        <v>rokwzgl=5 i lp=900</v>
      </c>
      <c r="K106" s="27" t="str">
        <f t="shared" si="25"/>
        <v>rokwzgl=6 i lp=900</v>
      </c>
      <c r="L106" s="27" t="str">
        <f t="shared" si="25"/>
        <v>rokwzgl=7 i lp=900</v>
      </c>
      <c r="M106" s="27" t="str">
        <f t="shared" si="25"/>
        <v>rokwzgl=8 i lp=900</v>
      </c>
      <c r="N106" s="27" t="str">
        <f t="shared" si="24"/>
        <v>rokwzgl=9 i lp=900</v>
      </c>
      <c r="O106" s="27" t="str">
        <f t="shared" si="24"/>
        <v>rokwzgl=10 i lp=900</v>
      </c>
      <c r="P106" s="27" t="str">
        <f t="shared" si="24"/>
        <v>rokwzgl=11 i lp=900</v>
      </c>
      <c r="Q106" s="27" t="str">
        <f t="shared" si="24"/>
        <v>rokwzgl=12 i lp=900</v>
      </c>
      <c r="R106" s="27" t="str">
        <f t="shared" si="24"/>
        <v>rokwzgl=13 i lp=900</v>
      </c>
      <c r="S106" s="27" t="str">
        <f t="shared" si="24"/>
        <v>rokwzgl=14 i lp=900</v>
      </c>
      <c r="T106" s="27" t="str">
        <f t="shared" si="24"/>
        <v>rokwzgl=15 i lp=900</v>
      </c>
      <c r="U106" s="27" t="str">
        <f t="shared" si="24"/>
        <v>rokwzgl=16 i lp=900</v>
      </c>
      <c r="V106" s="27" t="str">
        <f t="shared" si="24"/>
        <v>rokwzgl=17 i lp=900</v>
      </c>
      <c r="W106" s="27" t="str">
        <f t="shared" si="24"/>
        <v>rokwzgl=18 i lp=900</v>
      </c>
      <c r="X106" s="27" t="str">
        <f t="shared" si="23"/>
        <v>rokwzgl=19 i lp=900</v>
      </c>
      <c r="Y106" s="27" t="str">
        <f t="shared" si="23"/>
        <v>rokwzgl=20 i lp=900</v>
      </c>
      <c r="Z106" s="27" t="str">
        <f t="shared" si="23"/>
        <v>rokwzgl=21 i lp=900</v>
      </c>
      <c r="AA106" s="27" t="str">
        <f t="shared" si="23"/>
        <v>rokwzgl=22 i lp=900</v>
      </c>
      <c r="AB106" s="27" t="str">
        <f t="shared" si="23"/>
        <v>rokwzgl=23 i lp=900</v>
      </c>
      <c r="AC106" s="27" t="str">
        <f t="shared" si="23"/>
        <v>rokwzgl=24 i lp=900</v>
      </c>
      <c r="AD106" s="27" t="str">
        <f t="shared" si="23"/>
        <v>rokwzgl=25 i lp=900</v>
      </c>
      <c r="AE106" s="27" t="str">
        <f t="shared" si="23"/>
        <v>rokwzgl=26 i lp=900</v>
      </c>
      <c r="AF106" s="27" t="str">
        <f t="shared" si="23"/>
        <v>rokwzgl=27 i lp=900</v>
      </c>
      <c r="AG106" s="27" t="str">
        <f t="shared" si="23"/>
        <v>rokwzgl=28 i lp=900</v>
      </c>
      <c r="AH106" s="27" t="str">
        <f t="shared" si="23"/>
        <v>rokwzgl=29 i lp=900</v>
      </c>
    </row>
    <row r="107" spans="1:34">
      <c r="A107" s="26">
        <v>910</v>
      </c>
      <c r="B107" s="26" t="s">
        <v>130</v>
      </c>
      <c r="C107" s="27" t="s">
        <v>131</v>
      </c>
      <c r="D107" s="27" t="str">
        <f t="shared" si="25"/>
        <v>rokwzgl=0 i lp=910</v>
      </c>
      <c r="E107" s="27" t="str">
        <f t="shared" si="25"/>
        <v>rokwzgl=0 i lp=910</v>
      </c>
      <c r="F107" s="27" t="str">
        <f t="shared" si="25"/>
        <v>rokwzgl=1 i lp=910</v>
      </c>
      <c r="G107" s="27" t="str">
        <f t="shared" si="25"/>
        <v>rokwzgl=2 i lp=910</v>
      </c>
      <c r="H107" s="27" t="str">
        <f t="shared" si="25"/>
        <v>rokwzgl=3 i lp=910</v>
      </c>
      <c r="I107" s="27" t="str">
        <f t="shared" si="25"/>
        <v>rokwzgl=4 i lp=910</v>
      </c>
      <c r="J107" s="27" t="str">
        <f t="shared" si="25"/>
        <v>rokwzgl=5 i lp=910</v>
      </c>
      <c r="K107" s="27" t="str">
        <f t="shared" si="25"/>
        <v>rokwzgl=6 i lp=910</v>
      </c>
      <c r="L107" s="27" t="str">
        <f t="shared" si="25"/>
        <v>rokwzgl=7 i lp=910</v>
      </c>
      <c r="M107" s="27" t="str">
        <f t="shared" si="25"/>
        <v>rokwzgl=8 i lp=910</v>
      </c>
      <c r="N107" s="27" t="str">
        <f t="shared" si="24"/>
        <v>rokwzgl=9 i lp=910</v>
      </c>
      <c r="O107" s="27" t="str">
        <f t="shared" si="24"/>
        <v>rokwzgl=10 i lp=910</v>
      </c>
      <c r="P107" s="27" t="str">
        <f t="shared" si="24"/>
        <v>rokwzgl=11 i lp=910</v>
      </c>
      <c r="Q107" s="27" t="str">
        <f t="shared" si="24"/>
        <v>rokwzgl=12 i lp=910</v>
      </c>
      <c r="R107" s="27" t="str">
        <f t="shared" si="24"/>
        <v>rokwzgl=13 i lp=910</v>
      </c>
      <c r="S107" s="27" t="str">
        <f t="shared" si="24"/>
        <v>rokwzgl=14 i lp=910</v>
      </c>
      <c r="T107" s="27" t="str">
        <f t="shared" si="24"/>
        <v>rokwzgl=15 i lp=910</v>
      </c>
      <c r="U107" s="27" t="str">
        <f t="shared" si="24"/>
        <v>rokwzgl=16 i lp=910</v>
      </c>
      <c r="V107" s="27" t="str">
        <f t="shared" si="24"/>
        <v>rokwzgl=17 i lp=910</v>
      </c>
      <c r="W107" s="27" t="str">
        <f t="shared" si="24"/>
        <v>rokwzgl=18 i lp=910</v>
      </c>
      <c r="X107" s="27" t="str">
        <f t="shared" si="23"/>
        <v>rokwzgl=19 i lp=910</v>
      </c>
      <c r="Y107" s="27" t="str">
        <f t="shared" si="23"/>
        <v>rokwzgl=20 i lp=910</v>
      </c>
      <c r="Z107" s="27" t="str">
        <f t="shared" si="23"/>
        <v>rokwzgl=21 i lp=910</v>
      </c>
      <c r="AA107" s="27" t="str">
        <f t="shared" si="23"/>
        <v>rokwzgl=22 i lp=910</v>
      </c>
      <c r="AB107" s="27" t="str">
        <f t="shared" si="23"/>
        <v>rokwzgl=23 i lp=910</v>
      </c>
      <c r="AC107" s="27" t="str">
        <f t="shared" si="23"/>
        <v>rokwzgl=24 i lp=910</v>
      </c>
      <c r="AD107" s="27" t="str">
        <f t="shared" si="23"/>
        <v>rokwzgl=25 i lp=910</v>
      </c>
      <c r="AE107" s="27" t="str">
        <f t="shared" si="23"/>
        <v>rokwzgl=26 i lp=910</v>
      </c>
      <c r="AF107" s="27" t="str">
        <f t="shared" si="23"/>
        <v>rokwzgl=27 i lp=910</v>
      </c>
      <c r="AG107" s="27" t="str">
        <f t="shared" si="23"/>
        <v>rokwzgl=28 i lp=910</v>
      </c>
      <c r="AH107" s="27" t="str">
        <f t="shared" si="23"/>
        <v>rokwzgl=29 i lp=910</v>
      </c>
    </row>
    <row r="108" spans="1:34">
      <c r="A108" s="26">
        <v>920</v>
      </c>
      <c r="B108" s="26" t="s">
        <v>132</v>
      </c>
      <c r="C108" s="27" t="s">
        <v>416</v>
      </c>
      <c r="D108" s="27" t="str">
        <f t="shared" si="25"/>
        <v>rokwzgl=0 i lp=920</v>
      </c>
      <c r="E108" s="27" t="str">
        <f t="shared" si="25"/>
        <v>rokwzgl=0 i lp=920</v>
      </c>
      <c r="F108" s="27" t="str">
        <f t="shared" si="25"/>
        <v>rokwzgl=1 i lp=920</v>
      </c>
      <c r="G108" s="27" t="str">
        <f t="shared" si="25"/>
        <v>rokwzgl=2 i lp=920</v>
      </c>
      <c r="H108" s="27" t="str">
        <f t="shared" si="25"/>
        <v>rokwzgl=3 i lp=920</v>
      </c>
      <c r="I108" s="27" t="str">
        <f t="shared" si="25"/>
        <v>rokwzgl=4 i lp=920</v>
      </c>
      <c r="J108" s="27" t="str">
        <f t="shared" si="25"/>
        <v>rokwzgl=5 i lp=920</v>
      </c>
      <c r="K108" s="27" t="str">
        <f t="shared" si="25"/>
        <v>rokwzgl=6 i lp=920</v>
      </c>
      <c r="L108" s="27" t="str">
        <f t="shared" si="25"/>
        <v>rokwzgl=7 i lp=920</v>
      </c>
      <c r="M108" s="27" t="str">
        <f t="shared" si="25"/>
        <v>rokwzgl=8 i lp=920</v>
      </c>
      <c r="N108" s="27" t="str">
        <f t="shared" si="24"/>
        <v>rokwzgl=9 i lp=920</v>
      </c>
      <c r="O108" s="27" t="str">
        <f t="shared" si="24"/>
        <v>rokwzgl=10 i lp=920</v>
      </c>
      <c r="P108" s="27" t="str">
        <f t="shared" si="24"/>
        <v>rokwzgl=11 i lp=920</v>
      </c>
      <c r="Q108" s="27" t="str">
        <f t="shared" si="24"/>
        <v>rokwzgl=12 i lp=920</v>
      </c>
      <c r="R108" s="27" t="str">
        <f t="shared" si="24"/>
        <v>rokwzgl=13 i lp=920</v>
      </c>
      <c r="S108" s="27" t="str">
        <f t="shared" si="24"/>
        <v>rokwzgl=14 i lp=920</v>
      </c>
      <c r="T108" s="27" t="str">
        <f t="shared" si="24"/>
        <v>rokwzgl=15 i lp=920</v>
      </c>
      <c r="U108" s="27" t="str">
        <f t="shared" si="24"/>
        <v>rokwzgl=16 i lp=920</v>
      </c>
      <c r="V108" s="27" t="str">
        <f t="shared" si="24"/>
        <v>rokwzgl=17 i lp=920</v>
      </c>
      <c r="W108" s="27" t="str">
        <f t="shared" si="24"/>
        <v>rokwzgl=18 i lp=920</v>
      </c>
      <c r="X108" s="27" t="str">
        <f t="shared" si="23"/>
        <v>rokwzgl=19 i lp=920</v>
      </c>
      <c r="Y108" s="27" t="str">
        <f t="shared" si="23"/>
        <v>rokwzgl=20 i lp=920</v>
      </c>
      <c r="Z108" s="27" t="str">
        <f t="shared" si="23"/>
        <v>rokwzgl=21 i lp=920</v>
      </c>
      <c r="AA108" s="27" t="str">
        <f t="shared" si="23"/>
        <v>rokwzgl=22 i lp=920</v>
      </c>
      <c r="AB108" s="27" t="str">
        <f t="shared" si="23"/>
        <v>rokwzgl=23 i lp=920</v>
      </c>
      <c r="AC108" s="27" t="str">
        <f t="shared" si="23"/>
        <v>rokwzgl=24 i lp=920</v>
      </c>
      <c r="AD108" s="27" t="str">
        <f t="shared" si="23"/>
        <v>rokwzgl=25 i lp=920</v>
      </c>
      <c r="AE108" s="27" t="str">
        <f t="shared" si="23"/>
        <v>rokwzgl=26 i lp=920</v>
      </c>
      <c r="AF108" s="27" t="str">
        <f t="shared" si="23"/>
        <v>rokwzgl=27 i lp=920</v>
      </c>
      <c r="AG108" s="27" t="str">
        <f t="shared" si="23"/>
        <v>rokwzgl=28 i lp=920</v>
      </c>
      <c r="AH108" s="27" t="str">
        <f t="shared" si="23"/>
        <v>rokwzgl=29 i lp=920</v>
      </c>
    </row>
    <row r="109" spans="1:34">
      <c r="A109" s="26">
        <v>930</v>
      </c>
      <c r="B109" s="26" t="s">
        <v>133</v>
      </c>
      <c r="C109" s="27" t="s">
        <v>134</v>
      </c>
      <c r="D109" s="27" t="str">
        <f t="shared" si="25"/>
        <v>rokwzgl=0 i lp=930</v>
      </c>
      <c r="E109" s="27" t="str">
        <f t="shared" si="25"/>
        <v>rokwzgl=0 i lp=930</v>
      </c>
      <c r="F109" s="27" t="str">
        <f t="shared" si="25"/>
        <v>rokwzgl=1 i lp=930</v>
      </c>
      <c r="G109" s="27" t="str">
        <f t="shared" si="25"/>
        <v>rokwzgl=2 i lp=930</v>
      </c>
      <c r="H109" s="27" t="str">
        <f t="shared" si="25"/>
        <v>rokwzgl=3 i lp=930</v>
      </c>
      <c r="I109" s="27" t="str">
        <f t="shared" si="25"/>
        <v>rokwzgl=4 i lp=930</v>
      </c>
      <c r="J109" s="27" t="str">
        <f t="shared" si="25"/>
        <v>rokwzgl=5 i lp=930</v>
      </c>
      <c r="K109" s="27" t="str">
        <f t="shared" si="25"/>
        <v>rokwzgl=6 i lp=930</v>
      </c>
      <c r="L109" s="27" t="str">
        <f t="shared" si="25"/>
        <v>rokwzgl=7 i lp=930</v>
      </c>
      <c r="M109" s="27" t="str">
        <f t="shared" si="25"/>
        <v>rokwzgl=8 i lp=930</v>
      </c>
      <c r="N109" s="27" t="str">
        <f t="shared" si="24"/>
        <v>rokwzgl=9 i lp=930</v>
      </c>
      <c r="O109" s="27" t="str">
        <f t="shared" si="24"/>
        <v>rokwzgl=10 i lp=930</v>
      </c>
      <c r="P109" s="27" t="str">
        <f t="shared" si="24"/>
        <v>rokwzgl=11 i lp=930</v>
      </c>
      <c r="Q109" s="27" t="str">
        <f t="shared" si="24"/>
        <v>rokwzgl=12 i lp=930</v>
      </c>
      <c r="R109" s="27" t="str">
        <f t="shared" si="24"/>
        <v>rokwzgl=13 i lp=930</v>
      </c>
      <c r="S109" s="27" t="str">
        <f t="shared" si="24"/>
        <v>rokwzgl=14 i lp=930</v>
      </c>
      <c r="T109" s="27" t="str">
        <f t="shared" si="24"/>
        <v>rokwzgl=15 i lp=930</v>
      </c>
      <c r="U109" s="27" t="str">
        <f t="shared" si="24"/>
        <v>rokwzgl=16 i lp=930</v>
      </c>
      <c r="V109" s="27" t="str">
        <f t="shared" si="24"/>
        <v>rokwzgl=17 i lp=930</v>
      </c>
      <c r="W109" s="27" t="str">
        <f t="shared" si="24"/>
        <v>rokwzgl=18 i lp=930</v>
      </c>
      <c r="X109" s="27" t="str">
        <f t="shared" si="23"/>
        <v>rokwzgl=19 i lp=930</v>
      </c>
      <c r="Y109" s="27" t="str">
        <f t="shared" si="23"/>
        <v>rokwzgl=20 i lp=930</v>
      </c>
      <c r="Z109" s="27" t="str">
        <f t="shared" si="23"/>
        <v>rokwzgl=21 i lp=930</v>
      </c>
      <c r="AA109" s="27" t="str">
        <f t="shared" si="23"/>
        <v>rokwzgl=22 i lp=930</v>
      </c>
      <c r="AB109" s="27" t="str">
        <f t="shared" si="23"/>
        <v>rokwzgl=23 i lp=930</v>
      </c>
      <c r="AC109" s="27" t="str">
        <f t="shared" si="23"/>
        <v>rokwzgl=24 i lp=930</v>
      </c>
      <c r="AD109" s="27" t="str">
        <f t="shared" si="23"/>
        <v>rokwzgl=25 i lp=930</v>
      </c>
      <c r="AE109" s="27" t="str">
        <f t="shared" si="23"/>
        <v>rokwzgl=26 i lp=930</v>
      </c>
      <c r="AF109" s="27" t="str">
        <f t="shared" si="23"/>
        <v>rokwzgl=27 i lp=930</v>
      </c>
      <c r="AG109" s="27" t="str">
        <f t="shared" si="23"/>
        <v>rokwzgl=28 i lp=930</v>
      </c>
      <c r="AH109" s="27" t="str">
        <f t="shared" si="23"/>
        <v>rokwzgl=29 i lp=930</v>
      </c>
    </row>
    <row r="110" spans="1:34">
      <c r="A110" s="26">
        <v>940</v>
      </c>
      <c r="B110" s="26" t="s">
        <v>178</v>
      </c>
      <c r="C110" s="27" t="s">
        <v>135</v>
      </c>
      <c r="D110" s="27" t="str">
        <f t="shared" si="25"/>
        <v>rokwzgl=0 i lp=940</v>
      </c>
      <c r="E110" s="27" t="str">
        <f t="shared" si="25"/>
        <v>rokwzgl=0 i lp=940</v>
      </c>
      <c r="F110" s="27" t="str">
        <f t="shared" si="25"/>
        <v>rokwzgl=1 i lp=940</v>
      </c>
      <c r="G110" s="27" t="str">
        <f t="shared" si="25"/>
        <v>rokwzgl=2 i lp=940</v>
      </c>
      <c r="H110" s="27" t="str">
        <f t="shared" si="25"/>
        <v>rokwzgl=3 i lp=940</v>
      </c>
      <c r="I110" s="27" t="str">
        <f t="shared" si="25"/>
        <v>rokwzgl=4 i lp=940</v>
      </c>
      <c r="J110" s="27" t="str">
        <f t="shared" si="25"/>
        <v>rokwzgl=5 i lp=940</v>
      </c>
      <c r="K110" s="27" t="str">
        <f t="shared" si="25"/>
        <v>rokwzgl=6 i lp=940</v>
      </c>
      <c r="L110" s="27" t="str">
        <f t="shared" si="25"/>
        <v>rokwzgl=7 i lp=940</v>
      </c>
      <c r="M110" s="27" t="str">
        <f t="shared" si="25"/>
        <v>rokwzgl=8 i lp=940</v>
      </c>
      <c r="N110" s="27" t="str">
        <f t="shared" si="24"/>
        <v>rokwzgl=9 i lp=940</v>
      </c>
      <c r="O110" s="27" t="str">
        <f t="shared" si="24"/>
        <v>rokwzgl=10 i lp=940</v>
      </c>
      <c r="P110" s="27" t="str">
        <f t="shared" si="24"/>
        <v>rokwzgl=11 i lp=940</v>
      </c>
      <c r="Q110" s="27" t="str">
        <f t="shared" si="24"/>
        <v>rokwzgl=12 i lp=940</v>
      </c>
      <c r="R110" s="27" t="str">
        <f t="shared" si="24"/>
        <v>rokwzgl=13 i lp=940</v>
      </c>
      <c r="S110" s="27" t="str">
        <f t="shared" si="24"/>
        <v>rokwzgl=14 i lp=940</v>
      </c>
      <c r="T110" s="27" t="str">
        <f t="shared" si="24"/>
        <v>rokwzgl=15 i lp=940</v>
      </c>
      <c r="U110" s="27" t="str">
        <f t="shared" si="24"/>
        <v>rokwzgl=16 i lp=940</v>
      </c>
      <c r="V110" s="27" t="str">
        <f t="shared" si="24"/>
        <v>rokwzgl=17 i lp=940</v>
      </c>
      <c r="W110" s="27" t="str">
        <f t="shared" si="24"/>
        <v>rokwzgl=18 i lp=940</v>
      </c>
      <c r="X110" s="27" t="str">
        <f t="shared" si="23"/>
        <v>rokwzgl=19 i lp=940</v>
      </c>
      <c r="Y110" s="27" t="str">
        <f t="shared" si="23"/>
        <v>rokwzgl=20 i lp=940</v>
      </c>
      <c r="Z110" s="27" t="str">
        <f t="shared" si="23"/>
        <v>rokwzgl=21 i lp=940</v>
      </c>
      <c r="AA110" s="27" t="str">
        <f t="shared" si="23"/>
        <v>rokwzgl=22 i lp=940</v>
      </c>
      <c r="AB110" s="27" t="str">
        <f t="shared" si="23"/>
        <v>rokwzgl=23 i lp=940</v>
      </c>
      <c r="AC110" s="27" t="str">
        <f t="shared" si="23"/>
        <v>rokwzgl=24 i lp=940</v>
      </c>
      <c r="AD110" s="27" t="str">
        <f t="shared" si="23"/>
        <v>rokwzgl=25 i lp=940</v>
      </c>
      <c r="AE110" s="27" t="str">
        <f t="shared" si="23"/>
        <v>rokwzgl=26 i lp=940</v>
      </c>
      <c r="AF110" s="27" t="str">
        <f t="shared" si="23"/>
        <v>rokwzgl=27 i lp=940</v>
      </c>
      <c r="AG110" s="27" t="str">
        <f t="shared" si="23"/>
        <v>rokwzgl=28 i lp=940</v>
      </c>
      <c r="AH110" s="27" t="str">
        <f t="shared" si="23"/>
        <v>rokwzgl=29 i lp=940</v>
      </c>
    </row>
    <row r="111" spans="1:34">
      <c r="A111" s="26">
        <v>950</v>
      </c>
      <c r="B111" s="26">
        <v>15</v>
      </c>
      <c r="C111" s="27" t="s">
        <v>417</v>
      </c>
      <c r="D111" s="27" t="str">
        <f t="shared" si="25"/>
        <v>rokwzgl=0 i lp=950</v>
      </c>
      <c r="E111" s="27" t="str">
        <f t="shared" si="25"/>
        <v>rokwzgl=0 i lp=950</v>
      </c>
      <c r="F111" s="27" t="str">
        <f t="shared" si="25"/>
        <v>rokwzgl=1 i lp=950</v>
      </c>
      <c r="G111" s="27" t="str">
        <f t="shared" si="25"/>
        <v>rokwzgl=2 i lp=950</v>
      </c>
      <c r="H111" s="27" t="str">
        <f t="shared" si="25"/>
        <v>rokwzgl=3 i lp=950</v>
      </c>
      <c r="I111" s="27" t="str">
        <f t="shared" si="25"/>
        <v>rokwzgl=4 i lp=950</v>
      </c>
      <c r="J111" s="27" t="str">
        <f t="shared" si="25"/>
        <v>rokwzgl=5 i lp=950</v>
      </c>
      <c r="K111" s="27" t="str">
        <f t="shared" si="25"/>
        <v>rokwzgl=6 i lp=950</v>
      </c>
      <c r="L111" s="27" t="str">
        <f t="shared" si="25"/>
        <v>rokwzgl=7 i lp=950</v>
      </c>
      <c r="M111" s="27" t="str">
        <f t="shared" si="25"/>
        <v>rokwzgl=8 i lp=950</v>
      </c>
      <c r="N111" s="27" t="str">
        <f t="shared" si="24"/>
        <v>rokwzgl=9 i lp=950</v>
      </c>
      <c r="O111" s="27" t="str">
        <f t="shared" si="24"/>
        <v>rokwzgl=10 i lp=950</v>
      </c>
      <c r="P111" s="27" t="str">
        <f t="shared" si="24"/>
        <v>rokwzgl=11 i lp=950</v>
      </c>
      <c r="Q111" s="27" t="str">
        <f t="shared" si="24"/>
        <v>rokwzgl=12 i lp=950</v>
      </c>
      <c r="R111" s="27" t="str">
        <f t="shared" si="24"/>
        <v>rokwzgl=13 i lp=950</v>
      </c>
      <c r="S111" s="27" t="str">
        <f t="shared" si="24"/>
        <v>rokwzgl=14 i lp=950</v>
      </c>
      <c r="T111" s="27" t="str">
        <f t="shared" si="24"/>
        <v>rokwzgl=15 i lp=950</v>
      </c>
      <c r="U111" s="27" t="str">
        <f t="shared" si="24"/>
        <v>rokwzgl=16 i lp=950</v>
      </c>
      <c r="V111" s="27" t="str">
        <f t="shared" si="24"/>
        <v>rokwzgl=17 i lp=950</v>
      </c>
      <c r="W111" s="27" t="str">
        <f t="shared" si="24"/>
        <v>rokwzgl=18 i lp=950</v>
      </c>
      <c r="X111" s="27" t="str">
        <f t="shared" si="23"/>
        <v>rokwzgl=19 i lp=950</v>
      </c>
      <c r="Y111" s="27" t="str">
        <f t="shared" si="23"/>
        <v>rokwzgl=20 i lp=950</v>
      </c>
      <c r="Z111" s="27" t="str">
        <f t="shared" si="23"/>
        <v>rokwzgl=21 i lp=950</v>
      </c>
      <c r="AA111" s="27" t="str">
        <f t="shared" si="23"/>
        <v>rokwzgl=22 i lp=950</v>
      </c>
      <c r="AB111" s="27" t="str">
        <f t="shared" si="23"/>
        <v>rokwzgl=23 i lp=950</v>
      </c>
      <c r="AC111" s="27" t="str">
        <f t="shared" si="23"/>
        <v>rokwzgl=24 i lp=950</v>
      </c>
      <c r="AD111" s="27" t="str">
        <f t="shared" si="23"/>
        <v>rokwzgl=25 i lp=950</v>
      </c>
      <c r="AE111" s="27" t="str">
        <f t="shared" si="23"/>
        <v>rokwzgl=26 i lp=950</v>
      </c>
      <c r="AF111" s="27" t="str">
        <f t="shared" si="23"/>
        <v>rokwzgl=27 i lp=950</v>
      </c>
      <c r="AG111" s="27" t="str">
        <f t="shared" si="23"/>
        <v>rokwzgl=28 i lp=950</v>
      </c>
      <c r="AH111" s="27" t="str">
        <f t="shared" si="23"/>
        <v>rokwzgl=29 i lp=950</v>
      </c>
    </row>
    <row r="112" spans="1:34">
      <c r="A112" s="26">
        <v>960</v>
      </c>
      <c r="B112" s="26" t="s">
        <v>418</v>
      </c>
      <c r="C112" s="27" t="s">
        <v>419</v>
      </c>
      <c r="D112" s="27" t="str">
        <f t="shared" si="25"/>
        <v>rokwzgl=0 i lp=960</v>
      </c>
      <c r="E112" s="27" t="str">
        <f t="shared" si="25"/>
        <v>rokwzgl=0 i lp=960</v>
      </c>
      <c r="F112" s="27" t="str">
        <f t="shared" si="25"/>
        <v>rokwzgl=1 i lp=960</v>
      </c>
      <c r="G112" s="27" t="str">
        <f t="shared" si="25"/>
        <v>rokwzgl=2 i lp=960</v>
      </c>
      <c r="H112" s="27" t="str">
        <f t="shared" si="25"/>
        <v>rokwzgl=3 i lp=960</v>
      </c>
      <c r="I112" s="27" t="str">
        <f t="shared" si="25"/>
        <v>rokwzgl=4 i lp=960</v>
      </c>
      <c r="J112" s="27" t="str">
        <f t="shared" si="25"/>
        <v>rokwzgl=5 i lp=960</v>
      </c>
      <c r="K112" s="27" t="str">
        <f t="shared" si="25"/>
        <v>rokwzgl=6 i lp=960</v>
      </c>
      <c r="L112" s="27" t="str">
        <f t="shared" si="25"/>
        <v>rokwzgl=7 i lp=960</v>
      </c>
      <c r="M112" s="27" t="str">
        <f t="shared" si="25"/>
        <v>rokwzgl=8 i lp=960</v>
      </c>
      <c r="N112" s="27" t="str">
        <f t="shared" si="24"/>
        <v>rokwzgl=9 i lp=960</v>
      </c>
      <c r="O112" s="27" t="str">
        <f t="shared" si="24"/>
        <v>rokwzgl=10 i lp=960</v>
      </c>
      <c r="P112" s="27" t="str">
        <f t="shared" si="24"/>
        <v>rokwzgl=11 i lp=960</v>
      </c>
      <c r="Q112" s="27" t="str">
        <f t="shared" si="24"/>
        <v>rokwzgl=12 i lp=960</v>
      </c>
      <c r="R112" s="27" t="str">
        <f t="shared" si="24"/>
        <v>rokwzgl=13 i lp=960</v>
      </c>
      <c r="S112" s="27" t="str">
        <f t="shared" si="24"/>
        <v>rokwzgl=14 i lp=960</v>
      </c>
      <c r="T112" s="27" t="str">
        <f t="shared" si="24"/>
        <v>rokwzgl=15 i lp=960</v>
      </c>
      <c r="U112" s="27" t="str">
        <f t="shared" si="24"/>
        <v>rokwzgl=16 i lp=960</v>
      </c>
      <c r="V112" s="27" t="str">
        <f t="shared" si="24"/>
        <v>rokwzgl=17 i lp=960</v>
      </c>
      <c r="W112" s="27" t="str">
        <f t="shared" si="24"/>
        <v>rokwzgl=18 i lp=960</v>
      </c>
      <c r="X112" s="27" t="str">
        <f t="shared" si="23"/>
        <v>rokwzgl=19 i lp=960</v>
      </c>
      <c r="Y112" s="27" t="str">
        <f t="shared" si="23"/>
        <v>rokwzgl=20 i lp=960</v>
      </c>
      <c r="Z112" s="27" t="str">
        <f t="shared" si="23"/>
        <v>rokwzgl=21 i lp=960</v>
      </c>
      <c r="AA112" s="27" t="str">
        <f t="shared" si="23"/>
        <v>rokwzgl=22 i lp=960</v>
      </c>
      <c r="AB112" s="27" t="str">
        <f t="shared" si="23"/>
        <v>rokwzgl=23 i lp=960</v>
      </c>
      <c r="AC112" s="27" t="str">
        <f t="shared" si="23"/>
        <v>rokwzgl=24 i lp=960</v>
      </c>
      <c r="AD112" s="27" t="str">
        <f t="shared" si="23"/>
        <v>rokwzgl=25 i lp=960</v>
      </c>
      <c r="AE112" s="27" t="str">
        <f t="shared" si="23"/>
        <v>rokwzgl=26 i lp=960</v>
      </c>
      <c r="AF112" s="27" t="str">
        <f t="shared" si="23"/>
        <v>rokwzgl=27 i lp=960</v>
      </c>
      <c r="AG112" s="27" t="str">
        <f t="shared" si="23"/>
        <v>rokwzgl=28 i lp=960</v>
      </c>
      <c r="AH112" s="27" t="str">
        <f t="shared" si="23"/>
        <v>rokwzgl=29 i lp=960</v>
      </c>
    </row>
    <row r="113" spans="1:34">
      <c r="A113" s="26">
        <v>970</v>
      </c>
      <c r="B113" s="26" t="s">
        <v>420</v>
      </c>
      <c r="C113" s="27" t="s">
        <v>421</v>
      </c>
      <c r="D113" s="27" t="str">
        <f t="shared" si="25"/>
        <v>rokwzgl=0 i lp=970</v>
      </c>
      <c r="E113" s="27" t="str">
        <f t="shared" si="25"/>
        <v>rokwzgl=0 i lp=970</v>
      </c>
      <c r="F113" s="27" t="str">
        <f t="shared" si="25"/>
        <v>rokwzgl=1 i lp=970</v>
      </c>
      <c r="G113" s="27" t="str">
        <f t="shared" si="25"/>
        <v>rokwzgl=2 i lp=970</v>
      </c>
      <c r="H113" s="27" t="str">
        <f t="shared" si="25"/>
        <v>rokwzgl=3 i lp=970</v>
      </c>
      <c r="I113" s="27" t="str">
        <f t="shared" si="25"/>
        <v>rokwzgl=4 i lp=970</v>
      </c>
      <c r="J113" s="27" t="str">
        <f t="shared" si="25"/>
        <v>rokwzgl=5 i lp=970</v>
      </c>
      <c r="K113" s="27" t="str">
        <f t="shared" si="25"/>
        <v>rokwzgl=6 i lp=970</v>
      </c>
      <c r="L113" s="27" t="str">
        <f t="shared" si="25"/>
        <v>rokwzgl=7 i lp=970</v>
      </c>
      <c r="M113" s="27" t="str">
        <f t="shared" si="25"/>
        <v>rokwzgl=8 i lp=970</v>
      </c>
      <c r="N113" s="27" t="str">
        <f t="shared" si="24"/>
        <v>rokwzgl=9 i lp=970</v>
      </c>
      <c r="O113" s="27" t="str">
        <f t="shared" si="24"/>
        <v>rokwzgl=10 i lp=970</v>
      </c>
      <c r="P113" s="27" t="str">
        <f t="shared" si="24"/>
        <v>rokwzgl=11 i lp=970</v>
      </c>
      <c r="Q113" s="27" t="str">
        <f t="shared" si="24"/>
        <v>rokwzgl=12 i lp=970</v>
      </c>
      <c r="R113" s="27" t="str">
        <f t="shared" si="24"/>
        <v>rokwzgl=13 i lp=970</v>
      </c>
      <c r="S113" s="27" t="str">
        <f t="shared" si="24"/>
        <v>rokwzgl=14 i lp=970</v>
      </c>
      <c r="T113" s="27" t="str">
        <f t="shared" si="24"/>
        <v>rokwzgl=15 i lp=970</v>
      </c>
      <c r="U113" s="27" t="str">
        <f t="shared" si="24"/>
        <v>rokwzgl=16 i lp=970</v>
      </c>
      <c r="V113" s="27" t="str">
        <f t="shared" si="24"/>
        <v>rokwzgl=17 i lp=970</v>
      </c>
      <c r="W113" s="27" t="str">
        <f t="shared" si="24"/>
        <v>rokwzgl=18 i lp=970</v>
      </c>
      <c r="X113" s="27" t="str">
        <f t="shared" si="23"/>
        <v>rokwzgl=19 i lp=970</v>
      </c>
      <c r="Y113" s="27" t="str">
        <f t="shared" si="23"/>
        <v>rokwzgl=20 i lp=970</v>
      </c>
      <c r="Z113" s="27" t="str">
        <f t="shared" si="23"/>
        <v>rokwzgl=21 i lp=970</v>
      </c>
      <c r="AA113" s="27" t="str">
        <f t="shared" si="23"/>
        <v>rokwzgl=22 i lp=970</v>
      </c>
      <c r="AB113" s="27" t="str">
        <f t="shared" si="23"/>
        <v>rokwzgl=23 i lp=970</v>
      </c>
      <c r="AC113" s="27" t="str">
        <f t="shared" si="23"/>
        <v>rokwzgl=24 i lp=970</v>
      </c>
      <c r="AD113" s="27" t="str">
        <f t="shared" si="23"/>
        <v>rokwzgl=25 i lp=970</v>
      </c>
      <c r="AE113" s="27" t="str">
        <f t="shared" si="23"/>
        <v>rokwzgl=26 i lp=970</v>
      </c>
      <c r="AF113" s="27" t="str">
        <f t="shared" si="23"/>
        <v>rokwzgl=27 i lp=970</v>
      </c>
      <c r="AG113" s="27" t="str">
        <f t="shared" si="23"/>
        <v>rokwzgl=28 i lp=970</v>
      </c>
      <c r="AH113" s="27" t="str">
        <f t="shared" si="23"/>
        <v>rokwzgl=29 i lp=970</v>
      </c>
    </row>
    <row r="114" spans="1:34">
      <c r="A114" s="26">
        <v>980</v>
      </c>
      <c r="B114" s="26" t="s">
        <v>422</v>
      </c>
      <c r="C114" s="27" t="s">
        <v>423</v>
      </c>
      <c r="D114" s="27" t="str">
        <f t="shared" si="25"/>
        <v>rokwzgl=0 i lp=980</v>
      </c>
      <c r="E114" s="27" t="str">
        <f t="shared" si="25"/>
        <v>rokwzgl=0 i lp=980</v>
      </c>
      <c r="F114" s="27" t="str">
        <f t="shared" si="25"/>
        <v>rokwzgl=1 i lp=980</v>
      </c>
      <c r="G114" s="27" t="str">
        <f t="shared" si="25"/>
        <v>rokwzgl=2 i lp=980</v>
      </c>
      <c r="H114" s="27" t="str">
        <f t="shared" si="25"/>
        <v>rokwzgl=3 i lp=980</v>
      </c>
      <c r="I114" s="27" t="str">
        <f t="shared" si="25"/>
        <v>rokwzgl=4 i lp=980</v>
      </c>
      <c r="J114" s="27" t="str">
        <f t="shared" si="25"/>
        <v>rokwzgl=5 i lp=980</v>
      </c>
      <c r="K114" s="27" t="str">
        <f t="shared" si="25"/>
        <v>rokwzgl=6 i lp=980</v>
      </c>
      <c r="L114" s="27" t="str">
        <f t="shared" si="25"/>
        <v>rokwzgl=7 i lp=980</v>
      </c>
      <c r="M114" s="27" t="str">
        <f t="shared" si="25"/>
        <v>rokwzgl=8 i lp=980</v>
      </c>
      <c r="N114" s="27" t="str">
        <f t="shared" si="24"/>
        <v>rokwzgl=9 i lp=980</v>
      </c>
      <c r="O114" s="27" t="str">
        <f t="shared" si="24"/>
        <v>rokwzgl=10 i lp=980</v>
      </c>
      <c r="P114" s="27" t="str">
        <f t="shared" si="24"/>
        <v>rokwzgl=11 i lp=980</v>
      </c>
      <c r="Q114" s="27" t="str">
        <f t="shared" si="24"/>
        <v>rokwzgl=12 i lp=980</v>
      </c>
      <c r="R114" s="27" t="str">
        <f t="shared" si="24"/>
        <v>rokwzgl=13 i lp=980</v>
      </c>
      <c r="S114" s="27" t="str">
        <f t="shared" si="24"/>
        <v>rokwzgl=14 i lp=980</v>
      </c>
      <c r="T114" s="27" t="str">
        <f t="shared" si="24"/>
        <v>rokwzgl=15 i lp=980</v>
      </c>
      <c r="U114" s="27" t="str">
        <f t="shared" si="24"/>
        <v>rokwzgl=16 i lp=980</v>
      </c>
      <c r="V114" s="27" t="str">
        <f t="shared" si="24"/>
        <v>rokwzgl=17 i lp=980</v>
      </c>
      <c r="W114" s="27" t="str">
        <f t="shared" si="24"/>
        <v>rokwzgl=18 i lp=980</v>
      </c>
      <c r="X114" s="27" t="str">
        <f t="shared" si="23"/>
        <v>rokwzgl=19 i lp=980</v>
      </c>
      <c r="Y114" s="27" t="str">
        <f t="shared" si="23"/>
        <v>rokwzgl=20 i lp=980</v>
      </c>
      <c r="Z114" s="27" t="str">
        <f t="shared" si="23"/>
        <v>rokwzgl=21 i lp=980</v>
      </c>
      <c r="AA114" s="27" t="str">
        <f t="shared" si="23"/>
        <v>rokwzgl=22 i lp=980</v>
      </c>
      <c r="AB114" s="27" t="str">
        <f t="shared" si="23"/>
        <v>rokwzgl=23 i lp=980</v>
      </c>
      <c r="AC114" s="27" t="str">
        <f t="shared" si="23"/>
        <v>rokwzgl=24 i lp=980</v>
      </c>
      <c r="AD114" s="27" t="str">
        <f t="shared" si="23"/>
        <v>rokwzgl=25 i lp=980</v>
      </c>
      <c r="AE114" s="27" t="str">
        <f t="shared" si="23"/>
        <v>rokwzgl=26 i lp=980</v>
      </c>
      <c r="AF114" s="27" t="str">
        <f t="shared" si="23"/>
        <v>rokwzgl=27 i lp=980</v>
      </c>
      <c r="AG114" s="27" t="str">
        <f t="shared" si="23"/>
        <v>rokwzgl=28 i lp=980</v>
      </c>
      <c r="AH114" s="27" t="str">
        <f t="shared" si="23"/>
        <v>rokwzgl=29 i lp=980</v>
      </c>
    </row>
  </sheetData>
  <customSheetViews>
    <customSheetView guid="{9360F695-77C0-4418-82C5-829A762C44E9}" state="hidden">
      <selection activeCell="D9" sqref="D9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workbookViewId="0">
      <pane ySplit="1" topLeftCell="A2" activePane="bottomLeft" state="frozen"/>
      <selection pane="bottomLeft" activeCell="A2" sqref="A2"/>
    </sheetView>
  </sheetViews>
  <sheetFormatPr defaultRowHeight="14.25"/>
  <cols>
    <col min="7" max="7" width="8.125" customWidth="1"/>
  </cols>
  <sheetData>
    <row r="1" spans="1:9" ht="15">
      <c r="A1" s="3" t="s">
        <v>31</v>
      </c>
      <c r="I1" s="127" t="str">
        <f>Zał.1_WPF_bazowy!D5&amp;" - "&amp;"WPF za lata "&amp;Zał.1_WPF_bazowy!D6&amp;" - Nr Uchwały JST: "&amp;Zał.1_WPF_bazowy!D4</f>
        <v>KRZYŻANÓW - WPF za lata 2014 - 2017 - Nr Uchwały JST: XXIV/190/2014</v>
      </c>
    </row>
    <row r="67" spans="2:9" ht="15">
      <c r="B67" s="3" t="s">
        <v>38</v>
      </c>
      <c r="I67" s="3" t="s">
        <v>38</v>
      </c>
    </row>
    <row r="84" spans="2:9" ht="15">
      <c r="B84" s="3" t="s">
        <v>39</v>
      </c>
      <c r="I84" s="3" t="s">
        <v>39</v>
      </c>
    </row>
  </sheetData>
  <customSheetViews>
    <customSheetView guid="{9360F695-77C0-4418-82C5-829A762C44E9}">
      <rowBreaks count="3" manualBreakCount="3">
        <brk id="34" max="16383" man="1"/>
        <brk id="82" max="16383" man="1"/>
        <brk id="115" max="16383" man="1"/>
      </rowBreaks>
      <pageMargins left="0.70866141732283472" right="0.70866141732283472" top="0.74803149606299213" bottom="0.74803149606299213" header="0.31496062992125984" footer="0.31496062992125984"/>
      <pageSetup paperSize="9" scale="95" orientation="landscape" horizontalDpi="4294967293" r:id="rId1"/>
      <headerFooter>
        <oddFooter>Strona &amp;P z &amp;N</oddFooter>
      </headerFooter>
    </customSheetView>
  </customSheetViews>
  <phoneticPr fontId="66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2"/>
  <headerFooter>
    <oddFooter>&amp;L&amp;"Czcionka tekstu podstawowego,Kursywa"&amp;9Wersja szablonu wydruku: 2014-01-23a&amp;C&amp;"Czcionka tekstu podstawowego,Kursywa"&amp;9Strona &amp;P z &amp;N</oddFooter>
  </headerFooter>
  <rowBreaks count="2" manualBreakCount="2">
    <brk id="34" max="16383" man="1"/>
    <brk id="66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423"/>
  <sheetViews>
    <sheetView workbookViewId="0">
      <selection activeCell="P4" sqref="P4:P423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4" max="14" width="16.875" customWidth="1"/>
    <col min="17" max="17" width="12.5" customWidth="1"/>
  </cols>
  <sheetData>
    <row r="1" spans="1:17" ht="15">
      <c r="A1" s="3" t="s">
        <v>23</v>
      </c>
      <c r="M1" s="7" t="s">
        <v>26</v>
      </c>
      <c r="N1" s="14">
        <f>MIN(M:M)</f>
        <v>2014</v>
      </c>
      <c r="P1" t="s">
        <v>211</v>
      </c>
      <c r="Q1">
        <f>MAX(M:M)</f>
        <v>2017</v>
      </c>
    </row>
    <row r="3" spans="1:17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358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7">
      <c r="A4" s="10">
        <v>2014</v>
      </c>
      <c r="B4" s="11" t="s">
        <v>489</v>
      </c>
      <c r="C4" s="11" t="s">
        <v>490</v>
      </c>
      <c r="D4" s="12">
        <v>1002052</v>
      </c>
      <c r="E4" s="12">
        <v>2</v>
      </c>
      <c r="F4" s="12"/>
      <c r="G4" s="12">
        <v>768</v>
      </c>
      <c r="H4" s="12" t="s">
        <v>412</v>
      </c>
      <c r="I4" s="12"/>
      <c r="J4" s="12" t="s">
        <v>406</v>
      </c>
      <c r="K4" s="12" t="b">
        <v>1</v>
      </c>
      <c r="L4" s="12">
        <v>0</v>
      </c>
      <c r="M4" s="8">
        <v>2014</v>
      </c>
      <c r="N4" s="9">
        <v>0</v>
      </c>
      <c r="O4" s="13">
        <v>41717</v>
      </c>
      <c r="P4" s="13">
        <v>41717</v>
      </c>
    </row>
    <row r="5" spans="1:17">
      <c r="A5" s="10">
        <v>2014</v>
      </c>
      <c r="B5" s="11" t="s">
        <v>489</v>
      </c>
      <c r="C5" s="11" t="s">
        <v>490</v>
      </c>
      <c r="D5" s="12">
        <v>1002052</v>
      </c>
      <c r="E5" s="12">
        <v>2</v>
      </c>
      <c r="F5" s="12"/>
      <c r="G5" s="12">
        <v>800</v>
      </c>
      <c r="H5" s="12">
        <v>13.1</v>
      </c>
      <c r="I5" s="12"/>
      <c r="J5" s="12" t="s">
        <v>119</v>
      </c>
      <c r="K5" s="12" t="b">
        <v>1</v>
      </c>
      <c r="L5" s="12">
        <v>1</v>
      </c>
      <c r="M5" s="8">
        <v>2015</v>
      </c>
      <c r="N5" s="9">
        <v>0</v>
      </c>
      <c r="O5" s="13">
        <v>41717</v>
      </c>
      <c r="P5" s="13">
        <v>41717</v>
      </c>
    </row>
    <row r="6" spans="1:17">
      <c r="A6" s="10">
        <v>2014</v>
      </c>
      <c r="B6" s="11" t="s">
        <v>489</v>
      </c>
      <c r="C6" s="11" t="s">
        <v>490</v>
      </c>
      <c r="D6" s="12">
        <v>1002052</v>
      </c>
      <c r="E6" s="12">
        <v>2</v>
      </c>
      <c r="F6" s="12"/>
      <c r="G6" s="12">
        <v>890</v>
      </c>
      <c r="H6" s="12">
        <v>14.2</v>
      </c>
      <c r="I6" s="12"/>
      <c r="J6" s="12" t="s">
        <v>128</v>
      </c>
      <c r="K6" s="12" t="b">
        <v>1</v>
      </c>
      <c r="L6" s="12">
        <v>0</v>
      </c>
      <c r="M6" s="8">
        <v>2014</v>
      </c>
      <c r="N6" s="9">
        <v>0</v>
      </c>
      <c r="O6" s="13">
        <v>41717</v>
      </c>
      <c r="P6" s="13">
        <v>41717</v>
      </c>
    </row>
    <row r="7" spans="1:17">
      <c r="A7" s="10">
        <v>2014</v>
      </c>
      <c r="B7" s="11" t="s">
        <v>489</v>
      </c>
      <c r="C7" s="11" t="s">
        <v>490</v>
      </c>
      <c r="D7" s="12">
        <v>1002052</v>
      </c>
      <c r="E7" s="12">
        <v>2</v>
      </c>
      <c r="F7" s="12"/>
      <c r="G7" s="12">
        <v>830</v>
      </c>
      <c r="H7" s="12">
        <v>13.4</v>
      </c>
      <c r="I7" s="12"/>
      <c r="J7" s="12" t="s">
        <v>122</v>
      </c>
      <c r="K7" s="12" t="b">
        <v>1</v>
      </c>
      <c r="L7" s="12">
        <v>0</v>
      </c>
      <c r="M7" s="8">
        <v>2014</v>
      </c>
      <c r="N7" s="9">
        <v>0</v>
      </c>
      <c r="O7" s="13">
        <v>41717</v>
      </c>
      <c r="P7" s="13">
        <v>41717</v>
      </c>
    </row>
    <row r="8" spans="1:17">
      <c r="A8" s="10">
        <v>2014</v>
      </c>
      <c r="B8" s="11" t="s">
        <v>489</v>
      </c>
      <c r="C8" s="11" t="s">
        <v>490</v>
      </c>
      <c r="D8" s="12">
        <v>1002052</v>
      </c>
      <c r="E8" s="12">
        <v>2</v>
      </c>
      <c r="F8" s="12"/>
      <c r="G8" s="12">
        <v>764</v>
      </c>
      <c r="H8" s="12" t="s">
        <v>405</v>
      </c>
      <c r="I8" s="12"/>
      <c r="J8" s="12" t="s">
        <v>406</v>
      </c>
      <c r="K8" s="12" t="b">
        <v>1</v>
      </c>
      <c r="L8" s="12">
        <v>3</v>
      </c>
      <c r="M8" s="8">
        <v>2017</v>
      </c>
      <c r="N8" s="9">
        <v>0</v>
      </c>
      <c r="O8" s="13">
        <v>41717</v>
      </c>
      <c r="P8" s="13">
        <v>41717</v>
      </c>
    </row>
    <row r="9" spans="1:17">
      <c r="A9" s="10">
        <v>2014</v>
      </c>
      <c r="B9" s="11" t="s">
        <v>489</v>
      </c>
      <c r="C9" s="11" t="s">
        <v>490</v>
      </c>
      <c r="D9" s="12">
        <v>1002052</v>
      </c>
      <c r="E9" s="12">
        <v>2</v>
      </c>
      <c r="F9" s="12"/>
      <c r="G9" s="12">
        <v>550</v>
      </c>
      <c r="H9" s="12">
        <v>10</v>
      </c>
      <c r="I9" s="12"/>
      <c r="J9" s="12" t="s">
        <v>85</v>
      </c>
      <c r="K9" s="12" t="b">
        <v>0</v>
      </c>
      <c r="L9" s="12">
        <v>0</v>
      </c>
      <c r="M9" s="8">
        <v>2014</v>
      </c>
      <c r="N9" s="9">
        <v>29625.19</v>
      </c>
      <c r="O9" s="13">
        <v>41717</v>
      </c>
      <c r="P9" s="13">
        <v>41717</v>
      </c>
    </row>
    <row r="10" spans="1:17">
      <c r="A10" s="10">
        <v>2014</v>
      </c>
      <c r="B10" s="11" t="s">
        <v>489</v>
      </c>
      <c r="C10" s="11" t="s">
        <v>490</v>
      </c>
      <c r="D10" s="12">
        <v>1002052</v>
      </c>
      <c r="E10" s="12">
        <v>2</v>
      </c>
      <c r="F10" s="12"/>
      <c r="G10" s="12">
        <v>860</v>
      </c>
      <c r="H10" s="12">
        <v>13.7</v>
      </c>
      <c r="I10" s="12"/>
      <c r="J10" s="12" t="s">
        <v>125</v>
      </c>
      <c r="K10" s="12" t="b">
        <v>1</v>
      </c>
      <c r="L10" s="12">
        <v>1</v>
      </c>
      <c r="M10" s="8">
        <v>2015</v>
      </c>
      <c r="N10" s="9">
        <v>0</v>
      </c>
      <c r="O10" s="13">
        <v>41717</v>
      </c>
      <c r="P10" s="13">
        <v>41717</v>
      </c>
    </row>
    <row r="11" spans="1:17">
      <c r="A11" s="10">
        <v>2014</v>
      </c>
      <c r="B11" s="11" t="s">
        <v>489</v>
      </c>
      <c r="C11" s="11" t="s">
        <v>490</v>
      </c>
      <c r="D11" s="12">
        <v>1002052</v>
      </c>
      <c r="E11" s="12">
        <v>2</v>
      </c>
      <c r="F11" s="12"/>
      <c r="G11" s="12">
        <v>750</v>
      </c>
      <c r="H11" s="12" t="s">
        <v>111</v>
      </c>
      <c r="I11" s="12"/>
      <c r="J11" s="12" t="s">
        <v>112</v>
      </c>
      <c r="K11" s="12" t="b">
        <v>0</v>
      </c>
      <c r="L11" s="12">
        <v>1</v>
      </c>
      <c r="M11" s="8">
        <v>2015</v>
      </c>
      <c r="N11" s="9">
        <v>0</v>
      </c>
      <c r="O11" s="13">
        <v>41717</v>
      </c>
      <c r="P11" s="13">
        <v>41717</v>
      </c>
    </row>
    <row r="12" spans="1:17">
      <c r="A12" s="10">
        <v>2014</v>
      </c>
      <c r="B12" s="11" t="s">
        <v>489</v>
      </c>
      <c r="C12" s="11" t="s">
        <v>490</v>
      </c>
      <c r="D12" s="12">
        <v>1002052</v>
      </c>
      <c r="E12" s="12">
        <v>2</v>
      </c>
      <c r="F12" s="12"/>
      <c r="G12" s="12">
        <v>610</v>
      </c>
      <c r="H12" s="12" t="s">
        <v>90</v>
      </c>
      <c r="I12" s="12"/>
      <c r="J12" s="12" t="s">
        <v>91</v>
      </c>
      <c r="K12" s="12" t="b">
        <v>1</v>
      </c>
      <c r="L12" s="12">
        <v>1</v>
      </c>
      <c r="M12" s="8">
        <v>2015</v>
      </c>
      <c r="N12" s="9">
        <v>0</v>
      </c>
      <c r="O12" s="13">
        <v>41717</v>
      </c>
      <c r="P12" s="13">
        <v>41717</v>
      </c>
    </row>
    <row r="13" spans="1:17">
      <c r="A13" s="10">
        <v>2014</v>
      </c>
      <c r="B13" s="11" t="s">
        <v>489</v>
      </c>
      <c r="C13" s="11" t="s">
        <v>490</v>
      </c>
      <c r="D13" s="12">
        <v>1002052</v>
      </c>
      <c r="E13" s="12">
        <v>2</v>
      </c>
      <c r="F13" s="12"/>
      <c r="G13" s="12">
        <v>280</v>
      </c>
      <c r="H13" s="12">
        <v>4.4000000000000004</v>
      </c>
      <c r="I13" s="12"/>
      <c r="J13" s="12" t="s">
        <v>74</v>
      </c>
      <c r="K13" s="12" t="b">
        <v>0</v>
      </c>
      <c r="L13" s="12">
        <v>0</v>
      </c>
      <c r="M13" s="8">
        <v>2014</v>
      </c>
      <c r="N13" s="9">
        <v>0</v>
      </c>
      <c r="O13" s="13">
        <v>41717</v>
      </c>
      <c r="P13" s="13">
        <v>41717</v>
      </c>
    </row>
    <row r="14" spans="1:17">
      <c r="A14" s="10">
        <v>2014</v>
      </c>
      <c r="B14" s="11" t="s">
        <v>489</v>
      </c>
      <c r="C14" s="11" t="s">
        <v>490</v>
      </c>
      <c r="D14" s="12">
        <v>1002052</v>
      </c>
      <c r="E14" s="12">
        <v>2</v>
      </c>
      <c r="F14" s="12"/>
      <c r="G14" s="12">
        <v>730</v>
      </c>
      <c r="H14" s="12">
        <v>12.3</v>
      </c>
      <c r="I14" s="12"/>
      <c r="J14" s="12" t="s">
        <v>108</v>
      </c>
      <c r="K14" s="12" t="b">
        <v>0</v>
      </c>
      <c r="L14" s="12">
        <v>1</v>
      </c>
      <c r="M14" s="8">
        <v>2015</v>
      </c>
      <c r="N14" s="9">
        <v>0</v>
      </c>
      <c r="O14" s="13">
        <v>41717</v>
      </c>
      <c r="P14" s="13">
        <v>41717</v>
      </c>
    </row>
    <row r="15" spans="1:17">
      <c r="A15" s="10">
        <v>2014</v>
      </c>
      <c r="B15" s="11" t="s">
        <v>489</v>
      </c>
      <c r="C15" s="11" t="s">
        <v>490</v>
      </c>
      <c r="D15" s="12">
        <v>1002052</v>
      </c>
      <c r="E15" s="12">
        <v>2</v>
      </c>
      <c r="F15" s="12"/>
      <c r="G15" s="12">
        <v>660</v>
      </c>
      <c r="H15" s="12">
        <v>12</v>
      </c>
      <c r="I15" s="12"/>
      <c r="J15" s="12" t="s">
        <v>97</v>
      </c>
      <c r="K15" s="12" t="b">
        <v>1</v>
      </c>
      <c r="L15" s="12">
        <v>0</v>
      </c>
      <c r="M15" s="8">
        <v>2014</v>
      </c>
      <c r="N15" s="9">
        <v>0</v>
      </c>
      <c r="O15" s="13">
        <v>41717</v>
      </c>
      <c r="P15" s="13">
        <v>41717</v>
      </c>
    </row>
    <row r="16" spans="1:17">
      <c r="A16" s="10">
        <v>2014</v>
      </c>
      <c r="B16" s="11" t="s">
        <v>489</v>
      </c>
      <c r="C16" s="11" t="s">
        <v>490</v>
      </c>
      <c r="D16" s="12">
        <v>1002052</v>
      </c>
      <c r="E16" s="12">
        <v>2</v>
      </c>
      <c r="F16" s="12"/>
      <c r="G16" s="12">
        <v>766</v>
      </c>
      <c r="H16" s="12" t="s">
        <v>409</v>
      </c>
      <c r="I16" s="12"/>
      <c r="J16" s="12" t="s">
        <v>406</v>
      </c>
      <c r="K16" s="12" t="b">
        <v>1</v>
      </c>
      <c r="L16" s="12">
        <v>3</v>
      </c>
      <c r="M16" s="8">
        <v>2017</v>
      </c>
      <c r="N16" s="9">
        <v>0</v>
      </c>
      <c r="O16" s="13">
        <v>41717</v>
      </c>
      <c r="P16" s="13">
        <v>41717</v>
      </c>
    </row>
    <row r="17" spans="1:16">
      <c r="A17" s="10">
        <v>2014</v>
      </c>
      <c r="B17" s="11" t="s">
        <v>489</v>
      </c>
      <c r="C17" s="11" t="s">
        <v>490</v>
      </c>
      <c r="D17" s="12">
        <v>1002052</v>
      </c>
      <c r="E17" s="12">
        <v>2</v>
      </c>
      <c r="F17" s="12"/>
      <c r="G17" s="12">
        <v>50</v>
      </c>
      <c r="H17" s="12" t="s">
        <v>45</v>
      </c>
      <c r="I17" s="12"/>
      <c r="J17" s="12" t="s">
        <v>46</v>
      </c>
      <c r="K17" s="12" t="b">
        <v>1</v>
      </c>
      <c r="L17" s="12">
        <v>1</v>
      </c>
      <c r="M17" s="8">
        <v>2015</v>
      </c>
      <c r="N17" s="9">
        <v>4194000</v>
      </c>
      <c r="O17" s="13">
        <v>41717</v>
      </c>
      <c r="P17" s="13">
        <v>41717</v>
      </c>
    </row>
    <row r="18" spans="1:16">
      <c r="A18" s="10">
        <v>2014</v>
      </c>
      <c r="B18" s="11" t="s">
        <v>489</v>
      </c>
      <c r="C18" s="11" t="s">
        <v>490</v>
      </c>
      <c r="D18" s="12">
        <v>1002052</v>
      </c>
      <c r="E18" s="12">
        <v>2</v>
      </c>
      <c r="F18" s="12"/>
      <c r="G18" s="12">
        <v>900</v>
      </c>
      <c r="H18" s="12">
        <v>14.3</v>
      </c>
      <c r="I18" s="12"/>
      <c r="J18" s="12" t="s">
        <v>129</v>
      </c>
      <c r="K18" s="12" t="b">
        <v>1</v>
      </c>
      <c r="L18" s="12">
        <v>1</v>
      </c>
      <c r="M18" s="8">
        <v>2015</v>
      </c>
      <c r="N18" s="9">
        <v>0</v>
      </c>
      <c r="O18" s="13">
        <v>41717</v>
      </c>
      <c r="P18" s="13">
        <v>41717</v>
      </c>
    </row>
    <row r="19" spans="1:16">
      <c r="A19" s="10">
        <v>2014</v>
      </c>
      <c r="B19" s="11" t="s">
        <v>489</v>
      </c>
      <c r="C19" s="11" t="s">
        <v>490</v>
      </c>
      <c r="D19" s="12">
        <v>1002052</v>
      </c>
      <c r="E19" s="12">
        <v>2</v>
      </c>
      <c r="F19" s="12"/>
      <c r="G19" s="12">
        <v>240</v>
      </c>
      <c r="H19" s="12">
        <v>4.2</v>
      </c>
      <c r="I19" s="12"/>
      <c r="J19" s="12" t="s">
        <v>69</v>
      </c>
      <c r="K19" s="12" t="b">
        <v>0</v>
      </c>
      <c r="L19" s="12">
        <v>0</v>
      </c>
      <c r="M19" s="8">
        <v>2014</v>
      </c>
      <c r="N19" s="9">
        <v>769331</v>
      </c>
      <c r="O19" s="13">
        <v>41717</v>
      </c>
      <c r="P19" s="13">
        <v>41717</v>
      </c>
    </row>
    <row r="20" spans="1:16">
      <c r="A20" s="10">
        <v>2014</v>
      </c>
      <c r="B20" s="11" t="s">
        <v>489</v>
      </c>
      <c r="C20" s="11" t="s">
        <v>490</v>
      </c>
      <c r="D20" s="12">
        <v>1002052</v>
      </c>
      <c r="E20" s="12">
        <v>2</v>
      </c>
      <c r="F20" s="12"/>
      <c r="G20" s="12">
        <v>340</v>
      </c>
      <c r="H20" s="12">
        <v>5.2</v>
      </c>
      <c r="I20" s="12"/>
      <c r="J20" s="12" t="s">
        <v>80</v>
      </c>
      <c r="K20" s="12" t="b">
        <v>0</v>
      </c>
      <c r="L20" s="12">
        <v>1</v>
      </c>
      <c r="M20" s="8">
        <v>2015</v>
      </c>
      <c r="N20" s="9">
        <v>0</v>
      </c>
      <c r="O20" s="13">
        <v>41717</v>
      </c>
      <c r="P20" s="13">
        <v>41717</v>
      </c>
    </row>
    <row r="21" spans="1:16">
      <c r="A21" s="10">
        <v>2014</v>
      </c>
      <c r="B21" s="11" t="s">
        <v>489</v>
      </c>
      <c r="C21" s="11" t="s">
        <v>490</v>
      </c>
      <c r="D21" s="12">
        <v>1002052</v>
      </c>
      <c r="E21" s="12">
        <v>2</v>
      </c>
      <c r="F21" s="12"/>
      <c r="G21" s="12">
        <v>40</v>
      </c>
      <c r="H21" s="12" t="s">
        <v>43</v>
      </c>
      <c r="I21" s="12"/>
      <c r="J21" s="12" t="s">
        <v>44</v>
      </c>
      <c r="K21" s="12" t="b">
        <v>1</v>
      </c>
      <c r="L21" s="12">
        <v>2</v>
      </c>
      <c r="M21" s="8">
        <v>2016</v>
      </c>
      <c r="N21" s="9">
        <v>1000</v>
      </c>
      <c r="O21" s="13">
        <v>41717</v>
      </c>
      <c r="P21" s="13">
        <v>41717</v>
      </c>
    </row>
    <row r="22" spans="1:16">
      <c r="A22" s="10">
        <v>2014</v>
      </c>
      <c r="B22" s="11" t="s">
        <v>489</v>
      </c>
      <c r="C22" s="11" t="s">
        <v>490</v>
      </c>
      <c r="D22" s="12">
        <v>1002052</v>
      </c>
      <c r="E22" s="12">
        <v>2</v>
      </c>
      <c r="F22" s="12"/>
      <c r="G22" s="12">
        <v>560</v>
      </c>
      <c r="H22" s="12">
        <v>10.1</v>
      </c>
      <c r="I22" s="12"/>
      <c r="J22" s="12" t="s">
        <v>86</v>
      </c>
      <c r="K22" s="12" t="b">
        <v>0</v>
      </c>
      <c r="L22" s="12">
        <v>0</v>
      </c>
      <c r="M22" s="8">
        <v>2014</v>
      </c>
      <c r="N22" s="9">
        <v>59625.19</v>
      </c>
      <c r="O22" s="13">
        <v>41717</v>
      </c>
      <c r="P22" s="13">
        <v>41717</v>
      </c>
    </row>
    <row r="23" spans="1:16">
      <c r="A23" s="10">
        <v>2014</v>
      </c>
      <c r="B23" s="11" t="s">
        <v>489</v>
      </c>
      <c r="C23" s="11" t="s">
        <v>490</v>
      </c>
      <c r="D23" s="12">
        <v>1002052</v>
      </c>
      <c r="E23" s="12">
        <v>2</v>
      </c>
      <c r="F23" s="12"/>
      <c r="G23" s="12">
        <v>300</v>
      </c>
      <c r="H23" s="12">
        <v>5</v>
      </c>
      <c r="I23" s="12" t="s">
        <v>374</v>
      </c>
      <c r="J23" s="12" t="s">
        <v>76</v>
      </c>
      <c r="K23" s="12" t="b">
        <v>0</v>
      </c>
      <c r="L23" s="12">
        <v>0</v>
      </c>
      <c r="M23" s="8">
        <v>2014</v>
      </c>
      <c r="N23" s="9">
        <v>798956.19</v>
      </c>
      <c r="O23" s="13">
        <v>41717</v>
      </c>
      <c r="P23" s="13">
        <v>41717</v>
      </c>
    </row>
    <row r="24" spans="1:16">
      <c r="A24" s="10">
        <v>2014</v>
      </c>
      <c r="B24" s="11" t="s">
        <v>489</v>
      </c>
      <c r="C24" s="11" t="s">
        <v>490</v>
      </c>
      <c r="D24" s="12">
        <v>1002052</v>
      </c>
      <c r="E24" s="12">
        <v>2</v>
      </c>
      <c r="F24" s="12"/>
      <c r="G24" s="12">
        <v>100</v>
      </c>
      <c r="H24" s="12" t="s">
        <v>54</v>
      </c>
      <c r="I24" s="12"/>
      <c r="J24" s="12" t="s">
        <v>55</v>
      </c>
      <c r="K24" s="12" t="b">
        <v>1</v>
      </c>
      <c r="L24" s="12">
        <v>3</v>
      </c>
      <c r="M24" s="8">
        <v>2017</v>
      </c>
      <c r="N24" s="9">
        <v>0</v>
      </c>
      <c r="O24" s="13">
        <v>41717</v>
      </c>
      <c r="P24" s="13">
        <v>41717</v>
      </c>
    </row>
    <row r="25" spans="1:16">
      <c r="A25" s="10">
        <v>2014</v>
      </c>
      <c r="B25" s="11" t="s">
        <v>489</v>
      </c>
      <c r="C25" s="11" t="s">
        <v>490</v>
      </c>
      <c r="D25" s="12">
        <v>1002052</v>
      </c>
      <c r="E25" s="12">
        <v>2</v>
      </c>
      <c r="F25" s="12"/>
      <c r="G25" s="12">
        <v>590</v>
      </c>
      <c r="H25" s="12">
        <v>11.2</v>
      </c>
      <c r="I25" s="12"/>
      <c r="J25" s="12" t="s">
        <v>89</v>
      </c>
      <c r="K25" s="12" t="b">
        <v>1</v>
      </c>
      <c r="L25" s="12">
        <v>2</v>
      </c>
      <c r="M25" s="8">
        <v>2016</v>
      </c>
      <c r="N25" s="9">
        <v>1547135</v>
      </c>
      <c r="O25" s="13">
        <v>41717</v>
      </c>
      <c r="P25" s="13">
        <v>41717</v>
      </c>
    </row>
    <row r="26" spans="1:16">
      <c r="A26" s="10">
        <v>2014</v>
      </c>
      <c r="B26" s="11" t="s">
        <v>489</v>
      </c>
      <c r="C26" s="11" t="s">
        <v>490</v>
      </c>
      <c r="D26" s="12">
        <v>1002052</v>
      </c>
      <c r="E26" s="12">
        <v>2</v>
      </c>
      <c r="F26" s="12"/>
      <c r="G26" s="12">
        <v>870</v>
      </c>
      <c r="H26" s="12">
        <v>14</v>
      </c>
      <c r="I26" s="12"/>
      <c r="J26" s="12" t="s">
        <v>126</v>
      </c>
      <c r="K26" s="12" t="b">
        <v>1</v>
      </c>
      <c r="L26" s="12">
        <v>3</v>
      </c>
      <c r="M26" s="8">
        <v>2017</v>
      </c>
      <c r="N26" s="9">
        <v>0</v>
      </c>
      <c r="O26" s="13">
        <v>41717</v>
      </c>
      <c r="P26" s="13">
        <v>41717</v>
      </c>
    </row>
    <row r="27" spans="1:16">
      <c r="A27" s="10">
        <v>2014</v>
      </c>
      <c r="B27" s="11" t="s">
        <v>489</v>
      </c>
      <c r="C27" s="11" t="s">
        <v>490</v>
      </c>
      <c r="D27" s="12">
        <v>1002052</v>
      </c>
      <c r="E27" s="12">
        <v>2</v>
      </c>
      <c r="F27" s="12"/>
      <c r="G27" s="12">
        <v>140</v>
      </c>
      <c r="H27" s="12" t="s">
        <v>59</v>
      </c>
      <c r="I27" s="12"/>
      <c r="J27" s="12" t="s">
        <v>60</v>
      </c>
      <c r="K27" s="12" t="b">
        <v>1</v>
      </c>
      <c r="L27" s="12">
        <v>3</v>
      </c>
      <c r="M27" s="8">
        <v>2017</v>
      </c>
      <c r="N27" s="9">
        <v>0</v>
      </c>
      <c r="O27" s="13">
        <v>41717</v>
      </c>
      <c r="P27" s="13">
        <v>41717</v>
      </c>
    </row>
    <row r="28" spans="1:16">
      <c r="A28" s="10">
        <v>2014</v>
      </c>
      <c r="B28" s="11" t="s">
        <v>489</v>
      </c>
      <c r="C28" s="11" t="s">
        <v>490</v>
      </c>
      <c r="D28" s="12">
        <v>1002052</v>
      </c>
      <c r="E28" s="12">
        <v>2</v>
      </c>
      <c r="F28" s="12"/>
      <c r="G28" s="12">
        <v>300</v>
      </c>
      <c r="H28" s="12">
        <v>5</v>
      </c>
      <c r="I28" s="12" t="s">
        <v>374</v>
      </c>
      <c r="J28" s="12" t="s">
        <v>76</v>
      </c>
      <c r="K28" s="12" t="b">
        <v>0</v>
      </c>
      <c r="L28" s="12">
        <v>1</v>
      </c>
      <c r="M28" s="8">
        <v>2015</v>
      </c>
      <c r="N28" s="9">
        <v>0</v>
      </c>
      <c r="O28" s="13">
        <v>41717</v>
      </c>
      <c r="P28" s="13">
        <v>41717</v>
      </c>
    </row>
    <row r="29" spans="1:16">
      <c r="A29" s="10">
        <v>2014</v>
      </c>
      <c r="B29" s="11" t="s">
        <v>489</v>
      </c>
      <c r="C29" s="11" t="s">
        <v>490</v>
      </c>
      <c r="D29" s="12">
        <v>1002052</v>
      </c>
      <c r="E29" s="12">
        <v>2</v>
      </c>
      <c r="F29" s="12"/>
      <c r="G29" s="12">
        <v>220</v>
      </c>
      <c r="H29" s="12">
        <v>4.0999999999999996</v>
      </c>
      <c r="I29" s="12"/>
      <c r="J29" s="12" t="s">
        <v>66</v>
      </c>
      <c r="K29" s="12" t="b">
        <v>0</v>
      </c>
      <c r="L29" s="12">
        <v>1</v>
      </c>
      <c r="M29" s="8">
        <v>2015</v>
      </c>
      <c r="N29" s="9">
        <v>0</v>
      </c>
      <c r="O29" s="13">
        <v>41717</v>
      </c>
      <c r="P29" s="13">
        <v>41717</v>
      </c>
    </row>
    <row r="30" spans="1:16">
      <c r="A30" s="10">
        <v>2014</v>
      </c>
      <c r="B30" s="11" t="s">
        <v>489</v>
      </c>
      <c r="C30" s="11" t="s">
        <v>490</v>
      </c>
      <c r="D30" s="12">
        <v>1002052</v>
      </c>
      <c r="E30" s="12">
        <v>2</v>
      </c>
      <c r="F30" s="12"/>
      <c r="G30" s="12">
        <v>20</v>
      </c>
      <c r="H30" s="12">
        <v>1.1000000000000001</v>
      </c>
      <c r="I30" s="12"/>
      <c r="J30" s="12" t="s">
        <v>40</v>
      </c>
      <c r="K30" s="12" t="b">
        <v>1</v>
      </c>
      <c r="L30" s="12">
        <v>3</v>
      </c>
      <c r="M30" s="8">
        <v>2017</v>
      </c>
      <c r="N30" s="9">
        <v>12170000</v>
      </c>
      <c r="O30" s="13">
        <v>41717</v>
      </c>
      <c r="P30" s="13">
        <v>41717</v>
      </c>
    </row>
    <row r="31" spans="1:16">
      <c r="A31" s="10">
        <v>2014</v>
      </c>
      <c r="B31" s="11" t="s">
        <v>489</v>
      </c>
      <c r="C31" s="11" t="s">
        <v>490</v>
      </c>
      <c r="D31" s="12">
        <v>1002052</v>
      </c>
      <c r="E31" s="12">
        <v>2</v>
      </c>
      <c r="F31" s="12"/>
      <c r="G31" s="12">
        <v>470</v>
      </c>
      <c r="H31" s="12">
        <v>9.1</v>
      </c>
      <c r="I31" s="12" t="s">
        <v>385</v>
      </c>
      <c r="J31" s="12" t="s">
        <v>386</v>
      </c>
      <c r="K31" s="12" t="b">
        <v>1</v>
      </c>
      <c r="L31" s="12">
        <v>0</v>
      </c>
      <c r="M31" s="8">
        <v>2014</v>
      </c>
      <c r="N31" s="9">
        <v>5.6399999999999999E-2</v>
      </c>
      <c r="O31" s="13">
        <v>41717</v>
      </c>
      <c r="P31" s="13">
        <v>41717</v>
      </c>
    </row>
    <row r="32" spans="1:16">
      <c r="A32" s="10">
        <v>2014</v>
      </c>
      <c r="B32" s="11" t="s">
        <v>489</v>
      </c>
      <c r="C32" s="11" t="s">
        <v>490</v>
      </c>
      <c r="D32" s="12">
        <v>1002052</v>
      </c>
      <c r="E32" s="12">
        <v>2</v>
      </c>
      <c r="F32" s="12"/>
      <c r="G32" s="12">
        <v>760</v>
      </c>
      <c r="H32" s="12">
        <v>12.4</v>
      </c>
      <c r="I32" s="12"/>
      <c r="J32" s="12" t="s">
        <v>113</v>
      </c>
      <c r="K32" s="12" t="b">
        <v>1</v>
      </c>
      <c r="L32" s="12">
        <v>3</v>
      </c>
      <c r="M32" s="8">
        <v>2017</v>
      </c>
      <c r="N32" s="9">
        <v>0</v>
      </c>
      <c r="O32" s="13">
        <v>41717</v>
      </c>
      <c r="P32" s="13">
        <v>41717</v>
      </c>
    </row>
    <row r="33" spans="1:16">
      <c r="A33" s="10">
        <v>2014</v>
      </c>
      <c r="B33" s="11" t="s">
        <v>489</v>
      </c>
      <c r="C33" s="11" t="s">
        <v>490</v>
      </c>
      <c r="D33" s="12">
        <v>1002052</v>
      </c>
      <c r="E33" s="12">
        <v>2</v>
      </c>
      <c r="F33" s="12"/>
      <c r="G33" s="12">
        <v>30</v>
      </c>
      <c r="H33" s="12" t="s">
        <v>41</v>
      </c>
      <c r="I33" s="12"/>
      <c r="J33" s="12" t="s">
        <v>42</v>
      </c>
      <c r="K33" s="12" t="b">
        <v>1</v>
      </c>
      <c r="L33" s="12">
        <v>2</v>
      </c>
      <c r="M33" s="8">
        <v>2016</v>
      </c>
      <c r="N33" s="9">
        <v>1335088</v>
      </c>
      <c r="O33" s="13">
        <v>41717</v>
      </c>
      <c r="P33" s="13">
        <v>41717</v>
      </c>
    </row>
    <row r="34" spans="1:16">
      <c r="A34" s="10">
        <v>2014</v>
      </c>
      <c r="B34" s="11" t="s">
        <v>489</v>
      </c>
      <c r="C34" s="11" t="s">
        <v>490</v>
      </c>
      <c r="D34" s="12">
        <v>1002052</v>
      </c>
      <c r="E34" s="12">
        <v>2</v>
      </c>
      <c r="F34" s="12"/>
      <c r="G34" s="12">
        <v>80</v>
      </c>
      <c r="H34" s="12" t="s">
        <v>51</v>
      </c>
      <c r="I34" s="12"/>
      <c r="J34" s="12" t="s">
        <v>52</v>
      </c>
      <c r="K34" s="12" t="b">
        <v>1</v>
      </c>
      <c r="L34" s="12">
        <v>0</v>
      </c>
      <c r="M34" s="8">
        <v>2014</v>
      </c>
      <c r="N34" s="9">
        <v>1598695.67</v>
      </c>
      <c r="O34" s="13">
        <v>41717</v>
      </c>
      <c r="P34" s="13">
        <v>41717</v>
      </c>
    </row>
    <row r="35" spans="1:16">
      <c r="A35" s="10">
        <v>2014</v>
      </c>
      <c r="B35" s="11" t="s">
        <v>489</v>
      </c>
      <c r="C35" s="11" t="s">
        <v>490</v>
      </c>
      <c r="D35" s="12">
        <v>1002052</v>
      </c>
      <c r="E35" s="12">
        <v>2</v>
      </c>
      <c r="F35" s="12"/>
      <c r="G35" s="12">
        <v>270</v>
      </c>
      <c r="H35" s="12" t="s">
        <v>73</v>
      </c>
      <c r="I35" s="12"/>
      <c r="J35" s="12" t="s">
        <v>71</v>
      </c>
      <c r="K35" s="12" t="b">
        <v>1</v>
      </c>
      <c r="L35" s="12">
        <v>1</v>
      </c>
      <c r="M35" s="8">
        <v>2015</v>
      </c>
      <c r="N35" s="9">
        <v>0</v>
      </c>
      <c r="O35" s="13">
        <v>41717</v>
      </c>
      <c r="P35" s="13">
        <v>41717</v>
      </c>
    </row>
    <row r="36" spans="1:16">
      <c r="A36" s="10">
        <v>2014</v>
      </c>
      <c r="B36" s="11" t="s">
        <v>489</v>
      </c>
      <c r="C36" s="11" t="s">
        <v>490</v>
      </c>
      <c r="D36" s="12">
        <v>1002052</v>
      </c>
      <c r="E36" s="12">
        <v>2</v>
      </c>
      <c r="F36" s="12"/>
      <c r="G36" s="12">
        <v>720</v>
      </c>
      <c r="H36" s="12" t="s">
        <v>106</v>
      </c>
      <c r="I36" s="12"/>
      <c r="J36" s="12" t="s">
        <v>107</v>
      </c>
      <c r="K36" s="12" t="b">
        <v>0</v>
      </c>
      <c r="L36" s="12">
        <v>1</v>
      </c>
      <c r="M36" s="8">
        <v>2015</v>
      </c>
      <c r="N36" s="9">
        <v>0</v>
      </c>
      <c r="O36" s="13">
        <v>41717</v>
      </c>
      <c r="P36" s="13">
        <v>41717</v>
      </c>
    </row>
    <row r="37" spans="1:16">
      <c r="A37" s="10">
        <v>2014</v>
      </c>
      <c r="B37" s="11" t="s">
        <v>489</v>
      </c>
      <c r="C37" s="11" t="s">
        <v>490</v>
      </c>
      <c r="D37" s="12">
        <v>1002052</v>
      </c>
      <c r="E37" s="12">
        <v>2</v>
      </c>
      <c r="F37" s="12"/>
      <c r="G37" s="12">
        <v>130</v>
      </c>
      <c r="H37" s="12">
        <v>2.1</v>
      </c>
      <c r="I37" s="12"/>
      <c r="J37" s="12" t="s">
        <v>58</v>
      </c>
      <c r="K37" s="12" t="b">
        <v>1</v>
      </c>
      <c r="L37" s="12">
        <v>1</v>
      </c>
      <c r="M37" s="8">
        <v>2015</v>
      </c>
      <c r="N37" s="9">
        <v>9140000</v>
      </c>
      <c r="O37" s="13">
        <v>41717</v>
      </c>
      <c r="P37" s="13">
        <v>41717</v>
      </c>
    </row>
    <row r="38" spans="1:16">
      <c r="A38" s="10">
        <v>2014</v>
      </c>
      <c r="B38" s="11" t="s">
        <v>489</v>
      </c>
      <c r="C38" s="11" t="s">
        <v>490</v>
      </c>
      <c r="D38" s="12">
        <v>1002052</v>
      </c>
      <c r="E38" s="12">
        <v>2</v>
      </c>
      <c r="F38" s="12"/>
      <c r="G38" s="12">
        <v>120</v>
      </c>
      <c r="H38" s="12">
        <v>2</v>
      </c>
      <c r="I38" s="12" t="s">
        <v>491</v>
      </c>
      <c r="J38" s="12" t="s">
        <v>19</v>
      </c>
      <c r="K38" s="12" t="b">
        <v>0</v>
      </c>
      <c r="L38" s="12">
        <v>0</v>
      </c>
      <c r="M38" s="8">
        <v>2014</v>
      </c>
      <c r="N38" s="9">
        <v>14058548.48</v>
      </c>
      <c r="O38" s="13">
        <v>41717</v>
      </c>
      <c r="P38" s="13">
        <v>41717</v>
      </c>
    </row>
    <row r="39" spans="1:16">
      <c r="A39" s="10">
        <v>2014</v>
      </c>
      <c r="B39" s="11" t="s">
        <v>489</v>
      </c>
      <c r="C39" s="11" t="s">
        <v>490</v>
      </c>
      <c r="D39" s="12">
        <v>1002052</v>
      </c>
      <c r="E39" s="12">
        <v>2</v>
      </c>
      <c r="F39" s="12"/>
      <c r="G39" s="12">
        <v>764</v>
      </c>
      <c r="H39" s="12" t="s">
        <v>405</v>
      </c>
      <c r="I39" s="12"/>
      <c r="J39" s="12" t="s">
        <v>406</v>
      </c>
      <c r="K39" s="12" t="b">
        <v>1</v>
      </c>
      <c r="L39" s="12">
        <v>1</v>
      </c>
      <c r="M39" s="8">
        <v>2015</v>
      </c>
      <c r="N39" s="9">
        <v>0</v>
      </c>
      <c r="O39" s="13">
        <v>41717</v>
      </c>
      <c r="P39" s="13">
        <v>41717</v>
      </c>
    </row>
    <row r="40" spans="1:16">
      <c r="A40" s="10">
        <v>2014</v>
      </c>
      <c r="B40" s="11" t="s">
        <v>489</v>
      </c>
      <c r="C40" s="11" t="s">
        <v>490</v>
      </c>
      <c r="D40" s="12">
        <v>1002052</v>
      </c>
      <c r="E40" s="12">
        <v>2</v>
      </c>
      <c r="F40" s="12"/>
      <c r="G40" s="12">
        <v>890</v>
      </c>
      <c r="H40" s="12">
        <v>14.2</v>
      </c>
      <c r="I40" s="12"/>
      <c r="J40" s="12" t="s">
        <v>128</v>
      </c>
      <c r="K40" s="12" t="b">
        <v>1</v>
      </c>
      <c r="L40" s="12">
        <v>2</v>
      </c>
      <c r="M40" s="8">
        <v>2016</v>
      </c>
      <c r="N40" s="9">
        <v>0</v>
      </c>
      <c r="O40" s="13">
        <v>41717</v>
      </c>
      <c r="P40" s="13">
        <v>41717</v>
      </c>
    </row>
    <row r="41" spans="1:16">
      <c r="A41" s="10">
        <v>2014</v>
      </c>
      <c r="B41" s="11" t="s">
        <v>489</v>
      </c>
      <c r="C41" s="11" t="s">
        <v>490</v>
      </c>
      <c r="D41" s="12">
        <v>1002052</v>
      </c>
      <c r="E41" s="12">
        <v>2</v>
      </c>
      <c r="F41" s="12"/>
      <c r="G41" s="12">
        <v>10</v>
      </c>
      <c r="H41" s="12">
        <v>1</v>
      </c>
      <c r="I41" s="12" t="s">
        <v>492</v>
      </c>
      <c r="J41" s="12" t="s">
        <v>24</v>
      </c>
      <c r="K41" s="12" t="b">
        <v>1</v>
      </c>
      <c r="L41" s="12">
        <v>3</v>
      </c>
      <c r="M41" s="8">
        <v>2017</v>
      </c>
      <c r="N41" s="9">
        <v>12170000</v>
      </c>
      <c r="O41" s="13">
        <v>41717</v>
      </c>
      <c r="P41" s="13">
        <v>41717</v>
      </c>
    </row>
    <row r="42" spans="1:16">
      <c r="A42" s="10">
        <v>2014</v>
      </c>
      <c r="B42" s="11" t="s">
        <v>489</v>
      </c>
      <c r="C42" s="11" t="s">
        <v>490</v>
      </c>
      <c r="D42" s="12">
        <v>1002052</v>
      </c>
      <c r="E42" s="12">
        <v>2</v>
      </c>
      <c r="F42" s="12"/>
      <c r="G42" s="12">
        <v>480</v>
      </c>
      <c r="H42" s="12">
        <v>9.1999999999999993</v>
      </c>
      <c r="I42" s="12" t="s">
        <v>387</v>
      </c>
      <c r="J42" s="12" t="s">
        <v>388</v>
      </c>
      <c r="K42" s="12" t="b">
        <v>0</v>
      </c>
      <c r="L42" s="12">
        <v>1</v>
      </c>
      <c r="M42" s="8">
        <v>2015</v>
      </c>
      <c r="N42" s="9">
        <v>0</v>
      </c>
      <c r="O42" s="13">
        <v>41717</v>
      </c>
      <c r="P42" s="13">
        <v>41717</v>
      </c>
    </row>
    <row r="43" spans="1:16">
      <c r="A43" s="10">
        <v>2014</v>
      </c>
      <c r="B43" s="11" t="s">
        <v>489</v>
      </c>
      <c r="C43" s="11" t="s">
        <v>490</v>
      </c>
      <c r="D43" s="12">
        <v>1002052</v>
      </c>
      <c r="E43" s="12">
        <v>2</v>
      </c>
      <c r="F43" s="12"/>
      <c r="G43" s="12">
        <v>230</v>
      </c>
      <c r="H43" s="12" t="s">
        <v>67</v>
      </c>
      <c r="I43" s="12"/>
      <c r="J43" s="12" t="s">
        <v>68</v>
      </c>
      <c r="K43" s="12" t="b">
        <v>0</v>
      </c>
      <c r="L43" s="12">
        <v>1</v>
      </c>
      <c r="M43" s="8">
        <v>2015</v>
      </c>
      <c r="N43" s="9">
        <v>0</v>
      </c>
      <c r="O43" s="13">
        <v>41717</v>
      </c>
      <c r="P43" s="13">
        <v>41717</v>
      </c>
    </row>
    <row r="44" spans="1:16">
      <c r="A44" s="10">
        <v>2014</v>
      </c>
      <c r="B44" s="11" t="s">
        <v>489</v>
      </c>
      <c r="C44" s="11" t="s">
        <v>490</v>
      </c>
      <c r="D44" s="12">
        <v>1002052</v>
      </c>
      <c r="E44" s="12">
        <v>2</v>
      </c>
      <c r="F44" s="12"/>
      <c r="G44" s="12">
        <v>310</v>
      </c>
      <c r="H44" s="12">
        <v>5.0999999999999996</v>
      </c>
      <c r="I44" s="12"/>
      <c r="J44" s="12" t="s">
        <v>77</v>
      </c>
      <c r="K44" s="12" t="b">
        <v>1</v>
      </c>
      <c r="L44" s="12">
        <v>2</v>
      </c>
      <c r="M44" s="8">
        <v>2016</v>
      </c>
      <c r="N44" s="9">
        <v>0</v>
      </c>
      <c r="O44" s="13">
        <v>41717</v>
      </c>
      <c r="P44" s="13">
        <v>41717</v>
      </c>
    </row>
    <row r="45" spans="1:16">
      <c r="A45" s="10">
        <v>2014</v>
      </c>
      <c r="B45" s="11" t="s">
        <v>489</v>
      </c>
      <c r="C45" s="11" t="s">
        <v>490</v>
      </c>
      <c r="D45" s="12">
        <v>1002052</v>
      </c>
      <c r="E45" s="12">
        <v>2</v>
      </c>
      <c r="F45" s="12"/>
      <c r="G45" s="12">
        <v>690</v>
      </c>
      <c r="H45" s="12" t="s">
        <v>101</v>
      </c>
      <c r="I45" s="12"/>
      <c r="J45" s="12" t="s">
        <v>102</v>
      </c>
      <c r="K45" s="12" t="b">
        <v>1</v>
      </c>
      <c r="L45" s="12">
        <v>3</v>
      </c>
      <c r="M45" s="8">
        <v>2017</v>
      </c>
      <c r="N45" s="9">
        <v>0</v>
      </c>
      <c r="O45" s="13">
        <v>41717</v>
      </c>
      <c r="P45" s="13">
        <v>41717</v>
      </c>
    </row>
    <row r="46" spans="1:16">
      <c r="A46" s="10">
        <v>2014</v>
      </c>
      <c r="B46" s="11" t="s">
        <v>489</v>
      </c>
      <c r="C46" s="11" t="s">
        <v>490</v>
      </c>
      <c r="D46" s="12">
        <v>1002052</v>
      </c>
      <c r="E46" s="12">
        <v>2</v>
      </c>
      <c r="F46" s="12"/>
      <c r="G46" s="12">
        <v>760</v>
      </c>
      <c r="H46" s="12">
        <v>12.4</v>
      </c>
      <c r="I46" s="12"/>
      <c r="J46" s="12" t="s">
        <v>113</v>
      </c>
      <c r="K46" s="12" t="b">
        <v>1</v>
      </c>
      <c r="L46" s="12">
        <v>1</v>
      </c>
      <c r="M46" s="8">
        <v>2015</v>
      </c>
      <c r="N46" s="9">
        <v>0</v>
      </c>
      <c r="O46" s="13">
        <v>41717</v>
      </c>
      <c r="P46" s="13">
        <v>41717</v>
      </c>
    </row>
    <row r="47" spans="1:16">
      <c r="A47" s="10">
        <v>2014</v>
      </c>
      <c r="B47" s="11" t="s">
        <v>489</v>
      </c>
      <c r="C47" s="11" t="s">
        <v>490</v>
      </c>
      <c r="D47" s="12">
        <v>1002052</v>
      </c>
      <c r="E47" s="12">
        <v>2</v>
      </c>
      <c r="F47" s="12"/>
      <c r="G47" s="12">
        <v>210</v>
      </c>
      <c r="H47" s="12">
        <v>4</v>
      </c>
      <c r="I47" s="12" t="s">
        <v>373</v>
      </c>
      <c r="J47" s="12" t="s">
        <v>22</v>
      </c>
      <c r="K47" s="12" t="b">
        <v>0</v>
      </c>
      <c r="L47" s="12">
        <v>2</v>
      </c>
      <c r="M47" s="8">
        <v>2016</v>
      </c>
      <c r="N47" s="9">
        <v>0</v>
      </c>
      <c r="O47" s="13">
        <v>41717</v>
      </c>
      <c r="P47" s="13">
        <v>41717</v>
      </c>
    </row>
    <row r="48" spans="1:16">
      <c r="A48" s="10">
        <v>2014</v>
      </c>
      <c r="B48" s="11" t="s">
        <v>489</v>
      </c>
      <c r="C48" s="11" t="s">
        <v>490</v>
      </c>
      <c r="D48" s="12">
        <v>1002052</v>
      </c>
      <c r="E48" s="12">
        <v>2</v>
      </c>
      <c r="F48" s="12"/>
      <c r="G48" s="12">
        <v>670</v>
      </c>
      <c r="H48" s="12">
        <v>12.1</v>
      </c>
      <c r="I48" s="12"/>
      <c r="J48" s="12" t="s">
        <v>98</v>
      </c>
      <c r="K48" s="12" t="b">
        <v>1</v>
      </c>
      <c r="L48" s="12">
        <v>1</v>
      </c>
      <c r="M48" s="8">
        <v>2015</v>
      </c>
      <c r="N48" s="9">
        <v>0</v>
      </c>
      <c r="O48" s="13">
        <v>41717</v>
      </c>
      <c r="P48" s="13">
        <v>41717</v>
      </c>
    </row>
    <row r="49" spans="1:16">
      <c r="A49" s="10">
        <v>2014</v>
      </c>
      <c r="B49" s="11" t="s">
        <v>489</v>
      </c>
      <c r="C49" s="11" t="s">
        <v>490</v>
      </c>
      <c r="D49" s="12">
        <v>1002052</v>
      </c>
      <c r="E49" s="12">
        <v>2</v>
      </c>
      <c r="F49" s="12"/>
      <c r="G49" s="12">
        <v>170</v>
      </c>
      <c r="H49" s="12" t="s">
        <v>63</v>
      </c>
      <c r="I49" s="12"/>
      <c r="J49" s="12" t="s">
        <v>366</v>
      </c>
      <c r="K49" s="12" t="b">
        <v>1</v>
      </c>
      <c r="L49" s="12">
        <v>0</v>
      </c>
      <c r="M49" s="8">
        <v>2014</v>
      </c>
      <c r="N49" s="9">
        <v>20000</v>
      </c>
      <c r="O49" s="13">
        <v>41717</v>
      </c>
      <c r="P49" s="13">
        <v>41717</v>
      </c>
    </row>
    <row r="50" spans="1:16">
      <c r="A50" s="10">
        <v>2014</v>
      </c>
      <c r="B50" s="11" t="s">
        <v>489</v>
      </c>
      <c r="C50" s="11" t="s">
        <v>490</v>
      </c>
      <c r="D50" s="12">
        <v>1002052</v>
      </c>
      <c r="E50" s="12">
        <v>2</v>
      </c>
      <c r="F50" s="12"/>
      <c r="G50" s="12">
        <v>630</v>
      </c>
      <c r="H50" s="12">
        <v>11.4</v>
      </c>
      <c r="I50" s="12"/>
      <c r="J50" s="12" t="s">
        <v>94</v>
      </c>
      <c r="K50" s="12" t="b">
        <v>1</v>
      </c>
      <c r="L50" s="12">
        <v>0</v>
      </c>
      <c r="M50" s="8">
        <v>2014</v>
      </c>
      <c r="N50" s="9">
        <v>0</v>
      </c>
      <c r="O50" s="13">
        <v>41717</v>
      </c>
      <c r="P50" s="13">
        <v>41717</v>
      </c>
    </row>
    <row r="51" spans="1:16">
      <c r="A51" s="10">
        <v>2014</v>
      </c>
      <c r="B51" s="11" t="s">
        <v>489</v>
      </c>
      <c r="C51" s="11" t="s">
        <v>490</v>
      </c>
      <c r="D51" s="12">
        <v>1002052</v>
      </c>
      <c r="E51" s="12">
        <v>2</v>
      </c>
      <c r="F51" s="12"/>
      <c r="G51" s="12">
        <v>336</v>
      </c>
      <c r="H51" s="12" t="s">
        <v>380</v>
      </c>
      <c r="I51" s="12"/>
      <c r="J51" s="12" t="s">
        <v>381</v>
      </c>
      <c r="K51" s="12" t="b">
        <v>1</v>
      </c>
      <c r="L51" s="12">
        <v>2</v>
      </c>
      <c r="M51" s="8">
        <v>2016</v>
      </c>
      <c r="N51" s="9">
        <v>0</v>
      </c>
      <c r="O51" s="13">
        <v>41717</v>
      </c>
      <c r="P51" s="13">
        <v>41717</v>
      </c>
    </row>
    <row r="52" spans="1:16">
      <c r="A52" s="10">
        <v>2014</v>
      </c>
      <c r="B52" s="11" t="s">
        <v>489</v>
      </c>
      <c r="C52" s="11" t="s">
        <v>490</v>
      </c>
      <c r="D52" s="12">
        <v>1002052</v>
      </c>
      <c r="E52" s="12">
        <v>2</v>
      </c>
      <c r="F52" s="12"/>
      <c r="G52" s="12">
        <v>660</v>
      </c>
      <c r="H52" s="12">
        <v>12</v>
      </c>
      <c r="I52" s="12"/>
      <c r="J52" s="12" t="s">
        <v>97</v>
      </c>
      <c r="K52" s="12" t="b">
        <v>1</v>
      </c>
      <c r="L52" s="12">
        <v>1</v>
      </c>
      <c r="M52" s="8">
        <v>2015</v>
      </c>
      <c r="N52" s="9">
        <v>0</v>
      </c>
      <c r="O52" s="13">
        <v>41717</v>
      </c>
      <c r="P52" s="13">
        <v>41717</v>
      </c>
    </row>
    <row r="53" spans="1:16">
      <c r="A53" s="10">
        <v>2014</v>
      </c>
      <c r="B53" s="11" t="s">
        <v>489</v>
      </c>
      <c r="C53" s="11" t="s">
        <v>490</v>
      </c>
      <c r="D53" s="12">
        <v>1002052</v>
      </c>
      <c r="E53" s="12">
        <v>2</v>
      </c>
      <c r="F53" s="12"/>
      <c r="G53" s="12">
        <v>640</v>
      </c>
      <c r="H53" s="12">
        <v>11.5</v>
      </c>
      <c r="I53" s="12"/>
      <c r="J53" s="12" t="s">
        <v>95</v>
      </c>
      <c r="K53" s="12" t="b">
        <v>1</v>
      </c>
      <c r="L53" s="12">
        <v>3</v>
      </c>
      <c r="M53" s="8">
        <v>2017</v>
      </c>
      <c r="N53" s="9">
        <v>2570000</v>
      </c>
      <c r="O53" s="13">
        <v>41717</v>
      </c>
      <c r="P53" s="13">
        <v>41717</v>
      </c>
    </row>
    <row r="54" spans="1:16">
      <c r="A54" s="10">
        <v>2014</v>
      </c>
      <c r="B54" s="11" t="s">
        <v>489</v>
      </c>
      <c r="C54" s="11" t="s">
        <v>490</v>
      </c>
      <c r="D54" s="12">
        <v>1002052</v>
      </c>
      <c r="E54" s="12">
        <v>2</v>
      </c>
      <c r="F54" s="12"/>
      <c r="G54" s="12">
        <v>490</v>
      </c>
      <c r="H54" s="12">
        <v>9.3000000000000007</v>
      </c>
      <c r="I54" s="12"/>
      <c r="J54" s="12" t="s">
        <v>389</v>
      </c>
      <c r="K54" s="12" t="b">
        <v>1</v>
      </c>
      <c r="L54" s="12">
        <v>1</v>
      </c>
      <c r="M54" s="8">
        <v>2015</v>
      </c>
      <c r="N54" s="9">
        <v>0</v>
      </c>
      <c r="O54" s="13">
        <v>41717</v>
      </c>
      <c r="P54" s="13">
        <v>41717</v>
      </c>
    </row>
    <row r="55" spans="1:16">
      <c r="A55" s="10">
        <v>2014</v>
      </c>
      <c r="B55" s="11" t="s">
        <v>489</v>
      </c>
      <c r="C55" s="11" t="s">
        <v>490</v>
      </c>
      <c r="D55" s="12">
        <v>1002052</v>
      </c>
      <c r="E55" s="12">
        <v>2</v>
      </c>
      <c r="F55" s="12"/>
      <c r="G55" s="12">
        <v>940</v>
      </c>
      <c r="H55" s="12">
        <v>14.4</v>
      </c>
      <c r="I55" s="12"/>
      <c r="J55" s="12" t="s">
        <v>135</v>
      </c>
      <c r="K55" s="12" t="b">
        <v>1</v>
      </c>
      <c r="L55" s="12">
        <v>3</v>
      </c>
      <c r="M55" s="8">
        <v>2017</v>
      </c>
      <c r="N55" s="9">
        <v>0</v>
      </c>
      <c r="O55" s="13">
        <v>41717</v>
      </c>
      <c r="P55" s="13">
        <v>41717</v>
      </c>
    </row>
    <row r="56" spans="1:16">
      <c r="A56" s="10">
        <v>2014</v>
      </c>
      <c r="B56" s="11" t="s">
        <v>489</v>
      </c>
      <c r="C56" s="11" t="s">
        <v>490</v>
      </c>
      <c r="D56" s="12">
        <v>1002052</v>
      </c>
      <c r="E56" s="12">
        <v>2</v>
      </c>
      <c r="F56" s="12"/>
      <c r="G56" s="12">
        <v>620</v>
      </c>
      <c r="H56" s="12" t="s">
        <v>92</v>
      </c>
      <c r="I56" s="12"/>
      <c r="J56" s="12" t="s">
        <v>93</v>
      </c>
      <c r="K56" s="12" t="b">
        <v>1</v>
      </c>
      <c r="L56" s="12">
        <v>1</v>
      </c>
      <c r="M56" s="8">
        <v>2015</v>
      </c>
      <c r="N56" s="9">
        <v>784700</v>
      </c>
      <c r="O56" s="13">
        <v>41717</v>
      </c>
      <c r="P56" s="13">
        <v>41717</v>
      </c>
    </row>
    <row r="57" spans="1:16">
      <c r="A57" s="10">
        <v>2014</v>
      </c>
      <c r="B57" s="11" t="s">
        <v>489</v>
      </c>
      <c r="C57" s="11" t="s">
        <v>490</v>
      </c>
      <c r="D57" s="12">
        <v>1002052</v>
      </c>
      <c r="E57" s="12">
        <v>2</v>
      </c>
      <c r="F57" s="12"/>
      <c r="G57" s="12">
        <v>930</v>
      </c>
      <c r="H57" s="12" t="s">
        <v>133</v>
      </c>
      <c r="I57" s="12"/>
      <c r="J57" s="12" t="s">
        <v>134</v>
      </c>
      <c r="K57" s="12" t="b">
        <v>1</v>
      </c>
      <c r="L57" s="12">
        <v>3</v>
      </c>
      <c r="M57" s="8">
        <v>2017</v>
      </c>
      <c r="N57" s="9">
        <v>0</v>
      </c>
      <c r="O57" s="13">
        <v>41717</v>
      </c>
      <c r="P57" s="13">
        <v>41717</v>
      </c>
    </row>
    <row r="58" spans="1:16">
      <c r="A58" s="10">
        <v>2014</v>
      </c>
      <c r="B58" s="11" t="s">
        <v>489</v>
      </c>
      <c r="C58" s="11" t="s">
        <v>490</v>
      </c>
      <c r="D58" s="12">
        <v>1002052</v>
      </c>
      <c r="E58" s="12">
        <v>2</v>
      </c>
      <c r="F58" s="12"/>
      <c r="G58" s="12">
        <v>760</v>
      </c>
      <c r="H58" s="12">
        <v>12.4</v>
      </c>
      <c r="I58" s="12"/>
      <c r="J58" s="12" t="s">
        <v>113</v>
      </c>
      <c r="K58" s="12" t="b">
        <v>1</v>
      </c>
      <c r="L58" s="12">
        <v>0</v>
      </c>
      <c r="M58" s="8">
        <v>2014</v>
      </c>
      <c r="N58" s="9">
        <v>0</v>
      </c>
      <c r="O58" s="13">
        <v>41717</v>
      </c>
      <c r="P58" s="13">
        <v>41717</v>
      </c>
    </row>
    <row r="59" spans="1:16">
      <c r="A59" s="10">
        <v>2014</v>
      </c>
      <c r="B59" s="11" t="s">
        <v>489</v>
      </c>
      <c r="C59" s="11" t="s">
        <v>490</v>
      </c>
      <c r="D59" s="12">
        <v>1002052</v>
      </c>
      <c r="E59" s="12">
        <v>2</v>
      </c>
      <c r="F59" s="12"/>
      <c r="G59" s="12">
        <v>620</v>
      </c>
      <c r="H59" s="12" t="s">
        <v>92</v>
      </c>
      <c r="I59" s="12"/>
      <c r="J59" s="12" t="s">
        <v>93</v>
      </c>
      <c r="K59" s="12" t="b">
        <v>1</v>
      </c>
      <c r="L59" s="12">
        <v>2</v>
      </c>
      <c r="M59" s="8">
        <v>2016</v>
      </c>
      <c r="N59" s="9">
        <v>0</v>
      </c>
      <c r="O59" s="13">
        <v>41717</v>
      </c>
      <c r="P59" s="13">
        <v>41717</v>
      </c>
    </row>
    <row r="60" spans="1:16">
      <c r="A60" s="10">
        <v>2014</v>
      </c>
      <c r="B60" s="11" t="s">
        <v>489</v>
      </c>
      <c r="C60" s="11" t="s">
        <v>490</v>
      </c>
      <c r="D60" s="12">
        <v>1002052</v>
      </c>
      <c r="E60" s="12">
        <v>2</v>
      </c>
      <c r="F60" s="12"/>
      <c r="G60" s="12">
        <v>10</v>
      </c>
      <c r="H60" s="12">
        <v>1</v>
      </c>
      <c r="I60" s="12" t="s">
        <v>492</v>
      </c>
      <c r="J60" s="12" t="s">
        <v>24</v>
      </c>
      <c r="K60" s="12" t="b">
        <v>1</v>
      </c>
      <c r="L60" s="12">
        <v>0</v>
      </c>
      <c r="M60" s="8">
        <v>2014</v>
      </c>
      <c r="N60" s="9">
        <v>14088173.67</v>
      </c>
      <c r="O60" s="13">
        <v>41717</v>
      </c>
      <c r="P60" s="13">
        <v>41717</v>
      </c>
    </row>
    <row r="61" spans="1:16">
      <c r="A61" s="10">
        <v>2014</v>
      </c>
      <c r="B61" s="11" t="s">
        <v>489</v>
      </c>
      <c r="C61" s="11" t="s">
        <v>490</v>
      </c>
      <c r="D61" s="12">
        <v>1002052</v>
      </c>
      <c r="E61" s="12">
        <v>2</v>
      </c>
      <c r="F61" s="12"/>
      <c r="G61" s="12">
        <v>184</v>
      </c>
      <c r="H61" s="12" t="s">
        <v>370</v>
      </c>
      <c r="I61" s="12"/>
      <c r="J61" s="12" t="s">
        <v>371</v>
      </c>
      <c r="K61" s="12" t="b">
        <v>0</v>
      </c>
      <c r="L61" s="12">
        <v>3</v>
      </c>
      <c r="M61" s="8">
        <v>2017</v>
      </c>
      <c r="N61" s="9">
        <v>0</v>
      </c>
      <c r="O61" s="13">
        <v>41717</v>
      </c>
      <c r="P61" s="13">
        <v>41717</v>
      </c>
    </row>
    <row r="62" spans="1:16">
      <c r="A62" s="10">
        <v>2014</v>
      </c>
      <c r="B62" s="11" t="s">
        <v>489</v>
      </c>
      <c r="C62" s="11" t="s">
        <v>490</v>
      </c>
      <c r="D62" s="12">
        <v>1002052</v>
      </c>
      <c r="E62" s="12">
        <v>2</v>
      </c>
      <c r="F62" s="12"/>
      <c r="G62" s="12">
        <v>280</v>
      </c>
      <c r="H62" s="12">
        <v>4.4000000000000004</v>
      </c>
      <c r="I62" s="12"/>
      <c r="J62" s="12" t="s">
        <v>74</v>
      </c>
      <c r="K62" s="12" t="b">
        <v>0</v>
      </c>
      <c r="L62" s="12">
        <v>2</v>
      </c>
      <c r="M62" s="8">
        <v>2016</v>
      </c>
      <c r="N62" s="9">
        <v>0</v>
      </c>
      <c r="O62" s="13">
        <v>41717</v>
      </c>
      <c r="P62" s="13">
        <v>41717</v>
      </c>
    </row>
    <row r="63" spans="1:16">
      <c r="A63" s="10">
        <v>2014</v>
      </c>
      <c r="B63" s="11" t="s">
        <v>489</v>
      </c>
      <c r="C63" s="11" t="s">
        <v>490</v>
      </c>
      <c r="D63" s="12">
        <v>1002052</v>
      </c>
      <c r="E63" s="12">
        <v>2</v>
      </c>
      <c r="F63" s="12"/>
      <c r="G63" s="12">
        <v>690</v>
      </c>
      <c r="H63" s="12" t="s">
        <v>101</v>
      </c>
      <c r="I63" s="12"/>
      <c r="J63" s="12" t="s">
        <v>102</v>
      </c>
      <c r="K63" s="12" t="b">
        <v>1</v>
      </c>
      <c r="L63" s="12">
        <v>0</v>
      </c>
      <c r="M63" s="8">
        <v>2014</v>
      </c>
      <c r="N63" s="9">
        <v>222217.77</v>
      </c>
      <c r="O63" s="13">
        <v>41717</v>
      </c>
      <c r="P63" s="13">
        <v>41717</v>
      </c>
    </row>
    <row r="64" spans="1:16">
      <c r="A64" s="10">
        <v>2014</v>
      </c>
      <c r="B64" s="11" t="s">
        <v>489</v>
      </c>
      <c r="C64" s="11" t="s">
        <v>490</v>
      </c>
      <c r="D64" s="12">
        <v>1002052</v>
      </c>
      <c r="E64" s="12">
        <v>2</v>
      </c>
      <c r="F64" s="12"/>
      <c r="G64" s="12">
        <v>30</v>
      </c>
      <c r="H64" s="12" t="s">
        <v>41</v>
      </c>
      <c r="I64" s="12"/>
      <c r="J64" s="12" t="s">
        <v>42</v>
      </c>
      <c r="K64" s="12" t="b">
        <v>1</v>
      </c>
      <c r="L64" s="12">
        <v>3</v>
      </c>
      <c r="M64" s="8">
        <v>2017</v>
      </c>
      <c r="N64" s="9">
        <v>1335088</v>
      </c>
      <c r="O64" s="13">
        <v>41717</v>
      </c>
      <c r="P64" s="13">
        <v>41717</v>
      </c>
    </row>
    <row r="65" spans="1:16">
      <c r="A65" s="10">
        <v>2014</v>
      </c>
      <c r="B65" s="11" t="s">
        <v>489</v>
      </c>
      <c r="C65" s="11" t="s">
        <v>490</v>
      </c>
      <c r="D65" s="12">
        <v>1002052</v>
      </c>
      <c r="E65" s="12">
        <v>2</v>
      </c>
      <c r="F65" s="12"/>
      <c r="G65" s="12">
        <v>600</v>
      </c>
      <c r="H65" s="12">
        <v>11.3</v>
      </c>
      <c r="I65" s="12" t="s">
        <v>401</v>
      </c>
      <c r="J65" s="12" t="s">
        <v>402</v>
      </c>
      <c r="K65" s="12" t="b">
        <v>1</v>
      </c>
      <c r="L65" s="12">
        <v>1</v>
      </c>
      <c r="M65" s="8">
        <v>2015</v>
      </c>
      <c r="N65" s="9">
        <v>784700</v>
      </c>
      <c r="O65" s="13">
        <v>41717</v>
      </c>
      <c r="P65" s="13">
        <v>41717</v>
      </c>
    </row>
    <row r="66" spans="1:16">
      <c r="A66" s="10">
        <v>2014</v>
      </c>
      <c r="B66" s="11" t="s">
        <v>489</v>
      </c>
      <c r="C66" s="11" t="s">
        <v>490</v>
      </c>
      <c r="D66" s="12">
        <v>1002052</v>
      </c>
      <c r="E66" s="12">
        <v>2</v>
      </c>
      <c r="F66" s="12"/>
      <c r="G66" s="12">
        <v>820</v>
      </c>
      <c r="H66" s="12">
        <v>13.3</v>
      </c>
      <c r="I66" s="12"/>
      <c r="J66" s="12" t="s">
        <v>121</v>
      </c>
      <c r="K66" s="12" t="b">
        <v>1</v>
      </c>
      <c r="L66" s="12">
        <v>1</v>
      </c>
      <c r="M66" s="8">
        <v>2015</v>
      </c>
      <c r="N66" s="9">
        <v>0</v>
      </c>
      <c r="O66" s="13">
        <v>41717</v>
      </c>
      <c r="P66" s="13">
        <v>41717</v>
      </c>
    </row>
    <row r="67" spans="1:16">
      <c r="A67" s="10">
        <v>2014</v>
      </c>
      <c r="B67" s="11" t="s">
        <v>489</v>
      </c>
      <c r="C67" s="11" t="s">
        <v>490</v>
      </c>
      <c r="D67" s="12">
        <v>1002052</v>
      </c>
      <c r="E67" s="12">
        <v>2</v>
      </c>
      <c r="F67" s="12"/>
      <c r="G67" s="12">
        <v>60</v>
      </c>
      <c r="H67" s="12" t="s">
        <v>47</v>
      </c>
      <c r="I67" s="12"/>
      <c r="J67" s="12" t="s">
        <v>48</v>
      </c>
      <c r="K67" s="12" t="b">
        <v>1</v>
      </c>
      <c r="L67" s="12">
        <v>0</v>
      </c>
      <c r="M67" s="8">
        <v>2014</v>
      </c>
      <c r="N67" s="9">
        <v>1487389</v>
      </c>
      <c r="O67" s="13">
        <v>41717</v>
      </c>
      <c r="P67" s="13">
        <v>41717</v>
      </c>
    </row>
    <row r="68" spans="1:16">
      <c r="A68" s="10">
        <v>2014</v>
      </c>
      <c r="B68" s="11" t="s">
        <v>489</v>
      </c>
      <c r="C68" s="11" t="s">
        <v>490</v>
      </c>
      <c r="D68" s="12">
        <v>1002052</v>
      </c>
      <c r="E68" s="12">
        <v>2</v>
      </c>
      <c r="F68" s="12"/>
      <c r="G68" s="12">
        <v>10</v>
      </c>
      <c r="H68" s="12">
        <v>1</v>
      </c>
      <c r="I68" s="12" t="s">
        <v>492</v>
      </c>
      <c r="J68" s="12" t="s">
        <v>24</v>
      </c>
      <c r="K68" s="12" t="b">
        <v>1</v>
      </c>
      <c r="L68" s="12">
        <v>1</v>
      </c>
      <c r="M68" s="8">
        <v>2015</v>
      </c>
      <c r="N68" s="9">
        <v>10825000</v>
      </c>
      <c r="O68" s="13">
        <v>41717</v>
      </c>
      <c r="P68" s="13">
        <v>41717</v>
      </c>
    </row>
    <row r="69" spans="1:16">
      <c r="A69" s="10">
        <v>2014</v>
      </c>
      <c r="B69" s="11" t="s">
        <v>489</v>
      </c>
      <c r="C69" s="11" t="s">
        <v>490</v>
      </c>
      <c r="D69" s="12">
        <v>1002052</v>
      </c>
      <c r="E69" s="12">
        <v>2</v>
      </c>
      <c r="F69" s="12"/>
      <c r="G69" s="12">
        <v>350</v>
      </c>
      <c r="H69" s="12">
        <v>6</v>
      </c>
      <c r="I69" s="12"/>
      <c r="J69" s="12" t="s">
        <v>25</v>
      </c>
      <c r="K69" s="12" t="b">
        <v>1</v>
      </c>
      <c r="L69" s="12">
        <v>3</v>
      </c>
      <c r="M69" s="8">
        <v>2017</v>
      </c>
      <c r="N69" s="9">
        <v>0</v>
      </c>
      <c r="O69" s="13">
        <v>41717</v>
      </c>
      <c r="P69" s="13">
        <v>41717</v>
      </c>
    </row>
    <row r="70" spans="1:16">
      <c r="A70" s="10">
        <v>2014</v>
      </c>
      <c r="B70" s="11" t="s">
        <v>489</v>
      </c>
      <c r="C70" s="11" t="s">
        <v>490</v>
      </c>
      <c r="D70" s="12">
        <v>1002052</v>
      </c>
      <c r="E70" s="12">
        <v>2</v>
      </c>
      <c r="F70" s="12"/>
      <c r="G70" s="12">
        <v>530</v>
      </c>
      <c r="H70" s="12">
        <v>9.6999999999999993</v>
      </c>
      <c r="I70" s="12" t="s">
        <v>397</v>
      </c>
      <c r="J70" s="12" t="s">
        <v>398</v>
      </c>
      <c r="K70" s="12" t="b">
        <v>0</v>
      </c>
      <c r="L70" s="12">
        <v>3</v>
      </c>
      <c r="M70" s="8">
        <v>2017</v>
      </c>
      <c r="N70" s="9">
        <v>1868</v>
      </c>
      <c r="O70" s="13">
        <v>41717</v>
      </c>
      <c r="P70" s="13">
        <v>41717</v>
      </c>
    </row>
    <row r="71" spans="1:16">
      <c r="A71" s="10">
        <v>2014</v>
      </c>
      <c r="B71" s="11" t="s">
        <v>489</v>
      </c>
      <c r="C71" s="11" t="s">
        <v>490</v>
      </c>
      <c r="D71" s="12">
        <v>1002052</v>
      </c>
      <c r="E71" s="12">
        <v>2</v>
      </c>
      <c r="F71" s="12"/>
      <c r="G71" s="12">
        <v>530</v>
      </c>
      <c r="H71" s="12">
        <v>9.6999999999999993</v>
      </c>
      <c r="I71" s="12" t="s">
        <v>397</v>
      </c>
      <c r="J71" s="12" t="s">
        <v>398</v>
      </c>
      <c r="K71" s="12" t="b">
        <v>0</v>
      </c>
      <c r="L71" s="12">
        <v>2</v>
      </c>
      <c r="M71" s="8">
        <v>2016</v>
      </c>
      <c r="N71" s="9">
        <v>1827</v>
      </c>
      <c r="O71" s="13">
        <v>41717</v>
      </c>
      <c r="P71" s="13">
        <v>41717</v>
      </c>
    </row>
    <row r="72" spans="1:16">
      <c r="A72" s="10">
        <v>2014</v>
      </c>
      <c r="B72" s="11" t="s">
        <v>489</v>
      </c>
      <c r="C72" s="11" t="s">
        <v>490</v>
      </c>
      <c r="D72" s="12">
        <v>1002052</v>
      </c>
      <c r="E72" s="12">
        <v>2</v>
      </c>
      <c r="F72" s="12"/>
      <c r="G72" s="12">
        <v>420</v>
      </c>
      <c r="H72" s="12">
        <v>8.1</v>
      </c>
      <c r="I72" s="12" t="s">
        <v>382</v>
      </c>
      <c r="J72" s="12" t="s">
        <v>82</v>
      </c>
      <c r="K72" s="12" t="b">
        <v>0</v>
      </c>
      <c r="L72" s="12">
        <v>0</v>
      </c>
      <c r="M72" s="8">
        <v>2014</v>
      </c>
      <c r="N72" s="9">
        <v>2364221.19</v>
      </c>
      <c r="O72" s="13">
        <v>41717</v>
      </c>
      <c r="P72" s="13">
        <v>41717</v>
      </c>
    </row>
    <row r="73" spans="1:16">
      <c r="A73" s="10">
        <v>2014</v>
      </c>
      <c r="B73" s="11" t="s">
        <v>489</v>
      </c>
      <c r="C73" s="11" t="s">
        <v>490</v>
      </c>
      <c r="D73" s="12">
        <v>1002052</v>
      </c>
      <c r="E73" s="12">
        <v>2</v>
      </c>
      <c r="F73" s="12"/>
      <c r="G73" s="12">
        <v>910</v>
      </c>
      <c r="H73" s="12" t="s">
        <v>130</v>
      </c>
      <c r="I73" s="12"/>
      <c r="J73" s="12" t="s">
        <v>131</v>
      </c>
      <c r="K73" s="12" t="b">
        <v>1</v>
      </c>
      <c r="L73" s="12">
        <v>0</v>
      </c>
      <c r="M73" s="8">
        <v>2014</v>
      </c>
      <c r="N73" s="9">
        <v>0</v>
      </c>
      <c r="O73" s="13">
        <v>41717</v>
      </c>
      <c r="P73" s="13">
        <v>41717</v>
      </c>
    </row>
    <row r="74" spans="1:16">
      <c r="A74" s="10">
        <v>2014</v>
      </c>
      <c r="B74" s="11" t="s">
        <v>489</v>
      </c>
      <c r="C74" s="11" t="s">
        <v>490</v>
      </c>
      <c r="D74" s="12">
        <v>1002052</v>
      </c>
      <c r="E74" s="12">
        <v>2</v>
      </c>
      <c r="F74" s="12"/>
      <c r="G74" s="12">
        <v>90</v>
      </c>
      <c r="H74" s="12">
        <v>1.2</v>
      </c>
      <c r="I74" s="12"/>
      <c r="J74" s="12" t="s">
        <v>53</v>
      </c>
      <c r="K74" s="12" t="b">
        <v>1</v>
      </c>
      <c r="L74" s="12">
        <v>3</v>
      </c>
      <c r="M74" s="8">
        <v>2017</v>
      </c>
      <c r="N74" s="9">
        <v>0</v>
      </c>
      <c r="O74" s="13">
        <v>41717</v>
      </c>
      <c r="P74" s="13">
        <v>41717</v>
      </c>
    </row>
    <row r="75" spans="1:16">
      <c r="A75" s="10">
        <v>2014</v>
      </c>
      <c r="B75" s="11" t="s">
        <v>489</v>
      </c>
      <c r="C75" s="11" t="s">
        <v>490</v>
      </c>
      <c r="D75" s="12">
        <v>1002052</v>
      </c>
      <c r="E75" s="12">
        <v>2</v>
      </c>
      <c r="F75" s="12"/>
      <c r="G75" s="12">
        <v>336</v>
      </c>
      <c r="H75" s="12" t="s">
        <v>380</v>
      </c>
      <c r="I75" s="12"/>
      <c r="J75" s="12" t="s">
        <v>381</v>
      </c>
      <c r="K75" s="12" t="b">
        <v>1</v>
      </c>
      <c r="L75" s="12">
        <v>3</v>
      </c>
      <c r="M75" s="8">
        <v>2017</v>
      </c>
      <c r="N75" s="9">
        <v>0</v>
      </c>
      <c r="O75" s="13">
        <v>41717</v>
      </c>
      <c r="P75" s="13">
        <v>41717</v>
      </c>
    </row>
    <row r="76" spans="1:16">
      <c r="A76" s="10">
        <v>2014</v>
      </c>
      <c r="B76" s="11" t="s">
        <v>489</v>
      </c>
      <c r="C76" s="11" t="s">
        <v>490</v>
      </c>
      <c r="D76" s="12">
        <v>1002052</v>
      </c>
      <c r="E76" s="12">
        <v>2</v>
      </c>
      <c r="F76" s="12"/>
      <c r="G76" s="12">
        <v>250</v>
      </c>
      <c r="H76" s="12" t="s">
        <v>70</v>
      </c>
      <c r="I76" s="12"/>
      <c r="J76" s="12" t="s">
        <v>71</v>
      </c>
      <c r="K76" s="12" t="b">
        <v>0</v>
      </c>
      <c r="L76" s="12">
        <v>2</v>
      </c>
      <c r="M76" s="8">
        <v>2016</v>
      </c>
      <c r="N76" s="9">
        <v>0</v>
      </c>
      <c r="O76" s="13">
        <v>41717</v>
      </c>
      <c r="P76" s="13">
        <v>41717</v>
      </c>
    </row>
    <row r="77" spans="1:16">
      <c r="A77" s="10">
        <v>2014</v>
      </c>
      <c r="B77" s="11" t="s">
        <v>489</v>
      </c>
      <c r="C77" s="11" t="s">
        <v>490</v>
      </c>
      <c r="D77" s="12">
        <v>1002052</v>
      </c>
      <c r="E77" s="12">
        <v>2</v>
      </c>
      <c r="F77" s="12"/>
      <c r="G77" s="12">
        <v>150</v>
      </c>
      <c r="H77" s="12" t="s">
        <v>61</v>
      </c>
      <c r="I77" s="12"/>
      <c r="J77" s="12" t="s">
        <v>364</v>
      </c>
      <c r="K77" s="12" t="b">
        <v>1</v>
      </c>
      <c r="L77" s="12">
        <v>1</v>
      </c>
      <c r="M77" s="8">
        <v>2015</v>
      </c>
      <c r="N77" s="9">
        <v>0</v>
      </c>
      <c r="O77" s="13">
        <v>41717</v>
      </c>
      <c r="P77" s="13">
        <v>41717</v>
      </c>
    </row>
    <row r="78" spans="1:16">
      <c r="A78" s="10">
        <v>2014</v>
      </c>
      <c r="B78" s="11" t="s">
        <v>489</v>
      </c>
      <c r="C78" s="11" t="s">
        <v>490</v>
      </c>
      <c r="D78" s="12">
        <v>1002052</v>
      </c>
      <c r="E78" s="12">
        <v>2</v>
      </c>
      <c r="F78" s="12"/>
      <c r="G78" s="12">
        <v>765</v>
      </c>
      <c r="H78" s="12">
        <v>12.6</v>
      </c>
      <c r="I78" s="12"/>
      <c r="J78" s="12" t="s">
        <v>408</v>
      </c>
      <c r="K78" s="12" t="b">
        <v>1</v>
      </c>
      <c r="L78" s="12">
        <v>3</v>
      </c>
      <c r="M78" s="8">
        <v>2017</v>
      </c>
      <c r="N78" s="9">
        <v>0</v>
      </c>
      <c r="O78" s="13">
        <v>41717</v>
      </c>
      <c r="P78" s="13">
        <v>41717</v>
      </c>
    </row>
    <row r="79" spans="1:16">
      <c r="A79" s="10">
        <v>2014</v>
      </c>
      <c r="B79" s="11" t="s">
        <v>489</v>
      </c>
      <c r="C79" s="11" t="s">
        <v>490</v>
      </c>
      <c r="D79" s="12">
        <v>1002052</v>
      </c>
      <c r="E79" s="12">
        <v>2</v>
      </c>
      <c r="F79" s="12"/>
      <c r="G79" s="12">
        <v>210</v>
      </c>
      <c r="H79" s="12">
        <v>4</v>
      </c>
      <c r="I79" s="12" t="s">
        <v>373</v>
      </c>
      <c r="J79" s="12" t="s">
        <v>22</v>
      </c>
      <c r="K79" s="12" t="b">
        <v>0</v>
      </c>
      <c r="L79" s="12">
        <v>1</v>
      </c>
      <c r="M79" s="8">
        <v>2015</v>
      </c>
      <c r="N79" s="9">
        <v>0</v>
      </c>
      <c r="O79" s="13">
        <v>41717</v>
      </c>
      <c r="P79" s="13">
        <v>41717</v>
      </c>
    </row>
    <row r="80" spans="1:16">
      <c r="A80" s="10">
        <v>2014</v>
      </c>
      <c r="B80" s="11" t="s">
        <v>489</v>
      </c>
      <c r="C80" s="11" t="s">
        <v>490</v>
      </c>
      <c r="D80" s="12">
        <v>1002052</v>
      </c>
      <c r="E80" s="12">
        <v>2</v>
      </c>
      <c r="F80" s="12"/>
      <c r="G80" s="12">
        <v>710</v>
      </c>
      <c r="H80" s="12" t="s">
        <v>104</v>
      </c>
      <c r="I80" s="12"/>
      <c r="J80" s="12" t="s">
        <v>105</v>
      </c>
      <c r="K80" s="12" t="b">
        <v>0</v>
      </c>
      <c r="L80" s="12">
        <v>3</v>
      </c>
      <c r="M80" s="8">
        <v>2017</v>
      </c>
      <c r="N80" s="9">
        <v>0</v>
      </c>
      <c r="O80" s="13">
        <v>41717</v>
      </c>
      <c r="P80" s="13">
        <v>41717</v>
      </c>
    </row>
    <row r="81" spans="1:16">
      <c r="A81" s="10">
        <v>2014</v>
      </c>
      <c r="B81" s="11" t="s">
        <v>489</v>
      </c>
      <c r="C81" s="11" t="s">
        <v>490</v>
      </c>
      <c r="D81" s="12">
        <v>1002052</v>
      </c>
      <c r="E81" s="12">
        <v>2</v>
      </c>
      <c r="F81" s="12"/>
      <c r="G81" s="12">
        <v>800</v>
      </c>
      <c r="H81" s="12">
        <v>13.1</v>
      </c>
      <c r="I81" s="12"/>
      <c r="J81" s="12" t="s">
        <v>119</v>
      </c>
      <c r="K81" s="12" t="b">
        <v>1</v>
      </c>
      <c r="L81" s="12">
        <v>3</v>
      </c>
      <c r="M81" s="8">
        <v>2017</v>
      </c>
      <c r="N81" s="9">
        <v>0</v>
      </c>
      <c r="O81" s="13">
        <v>41717</v>
      </c>
      <c r="P81" s="13">
        <v>41717</v>
      </c>
    </row>
    <row r="82" spans="1:16">
      <c r="A82" s="10">
        <v>2014</v>
      </c>
      <c r="B82" s="11" t="s">
        <v>489</v>
      </c>
      <c r="C82" s="11" t="s">
        <v>490</v>
      </c>
      <c r="D82" s="12">
        <v>1002052</v>
      </c>
      <c r="E82" s="12">
        <v>2</v>
      </c>
      <c r="F82" s="12"/>
      <c r="G82" s="12">
        <v>970</v>
      </c>
      <c r="H82" s="12" t="s">
        <v>420</v>
      </c>
      <c r="I82" s="12"/>
      <c r="J82" s="12" t="s">
        <v>421</v>
      </c>
      <c r="K82" s="12" t="b">
        <v>1</v>
      </c>
      <c r="L82" s="12">
        <v>2</v>
      </c>
      <c r="M82" s="8">
        <v>2016</v>
      </c>
      <c r="N82" s="9">
        <v>0</v>
      </c>
      <c r="O82" s="13">
        <v>41717</v>
      </c>
      <c r="P82" s="13">
        <v>41717</v>
      </c>
    </row>
    <row r="83" spans="1:16">
      <c r="A83" s="10">
        <v>2014</v>
      </c>
      <c r="B83" s="11" t="s">
        <v>489</v>
      </c>
      <c r="C83" s="11" t="s">
        <v>490</v>
      </c>
      <c r="D83" s="12">
        <v>1002052</v>
      </c>
      <c r="E83" s="12">
        <v>2</v>
      </c>
      <c r="F83" s="12"/>
      <c r="G83" s="12">
        <v>500</v>
      </c>
      <c r="H83" s="12">
        <v>9.4</v>
      </c>
      <c r="I83" s="12" t="s">
        <v>390</v>
      </c>
      <c r="J83" s="12" t="s">
        <v>391</v>
      </c>
      <c r="K83" s="12" t="b">
        <v>0</v>
      </c>
      <c r="L83" s="12">
        <v>3</v>
      </c>
      <c r="M83" s="8">
        <v>2017</v>
      </c>
      <c r="N83" s="9">
        <v>0</v>
      </c>
      <c r="O83" s="13">
        <v>41717</v>
      </c>
      <c r="P83" s="13">
        <v>41717</v>
      </c>
    </row>
    <row r="84" spans="1:16">
      <c r="A84" s="10">
        <v>2014</v>
      </c>
      <c r="B84" s="11" t="s">
        <v>489</v>
      </c>
      <c r="C84" s="11" t="s">
        <v>490</v>
      </c>
      <c r="D84" s="12">
        <v>1002052</v>
      </c>
      <c r="E84" s="12">
        <v>2</v>
      </c>
      <c r="F84" s="12"/>
      <c r="G84" s="12">
        <v>182</v>
      </c>
      <c r="H84" s="12" t="s">
        <v>368</v>
      </c>
      <c r="I84" s="12"/>
      <c r="J84" s="12" t="s">
        <v>369</v>
      </c>
      <c r="K84" s="12" t="b">
        <v>0</v>
      </c>
      <c r="L84" s="12">
        <v>1</v>
      </c>
      <c r="M84" s="8">
        <v>2015</v>
      </c>
      <c r="N84" s="9">
        <v>0</v>
      </c>
      <c r="O84" s="13">
        <v>41717</v>
      </c>
      <c r="P84" s="13">
        <v>41717</v>
      </c>
    </row>
    <row r="85" spans="1:16">
      <c r="A85" s="10">
        <v>2014</v>
      </c>
      <c r="B85" s="11" t="s">
        <v>489</v>
      </c>
      <c r="C85" s="11" t="s">
        <v>490</v>
      </c>
      <c r="D85" s="12">
        <v>1002052</v>
      </c>
      <c r="E85" s="12">
        <v>2</v>
      </c>
      <c r="F85" s="12"/>
      <c r="G85" s="12">
        <v>80</v>
      </c>
      <c r="H85" s="12" t="s">
        <v>51</v>
      </c>
      <c r="I85" s="12"/>
      <c r="J85" s="12" t="s">
        <v>52</v>
      </c>
      <c r="K85" s="12" t="b">
        <v>1</v>
      </c>
      <c r="L85" s="12">
        <v>3</v>
      </c>
      <c r="M85" s="8">
        <v>2017</v>
      </c>
      <c r="N85" s="9">
        <v>1350903</v>
      </c>
      <c r="O85" s="13">
        <v>41717</v>
      </c>
      <c r="P85" s="13">
        <v>41717</v>
      </c>
    </row>
    <row r="86" spans="1:16">
      <c r="A86" s="10">
        <v>2014</v>
      </c>
      <c r="B86" s="11" t="s">
        <v>489</v>
      </c>
      <c r="C86" s="11" t="s">
        <v>490</v>
      </c>
      <c r="D86" s="12">
        <v>1002052</v>
      </c>
      <c r="E86" s="12">
        <v>2</v>
      </c>
      <c r="F86" s="12"/>
      <c r="G86" s="12">
        <v>768</v>
      </c>
      <c r="H86" s="12" t="s">
        <v>412</v>
      </c>
      <c r="I86" s="12"/>
      <c r="J86" s="12" t="s">
        <v>406</v>
      </c>
      <c r="K86" s="12" t="b">
        <v>1</v>
      </c>
      <c r="L86" s="12">
        <v>2</v>
      </c>
      <c r="M86" s="8">
        <v>2016</v>
      </c>
      <c r="N86" s="9">
        <v>0</v>
      </c>
      <c r="O86" s="13">
        <v>41717</v>
      </c>
      <c r="P86" s="13">
        <v>41717</v>
      </c>
    </row>
    <row r="87" spans="1:16">
      <c r="A87" s="10">
        <v>2014</v>
      </c>
      <c r="B87" s="11" t="s">
        <v>489</v>
      </c>
      <c r="C87" s="11" t="s">
        <v>490</v>
      </c>
      <c r="D87" s="12">
        <v>1002052</v>
      </c>
      <c r="E87" s="12">
        <v>2</v>
      </c>
      <c r="F87" s="12"/>
      <c r="G87" s="12">
        <v>767</v>
      </c>
      <c r="H87" s="12">
        <v>12.7</v>
      </c>
      <c r="I87" s="12"/>
      <c r="J87" s="12" t="s">
        <v>411</v>
      </c>
      <c r="K87" s="12" t="b">
        <v>1</v>
      </c>
      <c r="L87" s="12">
        <v>1</v>
      </c>
      <c r="M87" s="8">
        <v>2015</v>
      </c>
      <c r="N87" s="9">
        <v>0</v>
      </c>
      <c r="O87" s="13">
        <v>41717</v>
      </c>
      <c r="P87" s="13">
        <v>41717</v>
      </c>
    </row>
    <row r="88" spans="1:16">
      <c r="A88" s="10">
        <v>2014</v>
      </c>
      <c r="B88" s="11" t="s">
        <v>489</v>
      </c>
      <c r="C88" s="11" t="s">
        <v>490</v>
      </c>
      <c r="D88" s="12">
        <v>1002052</v>
      </c>
      <c r="E88" s="12">
        <v>2</v>
      </c>
      <c r="F88" s="12"/>
      <c r="G88" s="12">
        <v>870</v>
      </c>
      <c r="H88" s="12">
        <v>14</v>
      </c>
      <c r="I88" s="12"/>
      <c r="J88" s="12" t="s">
        <v>126</v>
      </c>
      <c r="K88" s="12" t="b">
        <v>1</v>
      </c>
      <c r="L88" s="12">
        <v>2</v>
      </c>
      <c r="M88" s="8">
        <v>2016</v>
      </c>
      <c r="N88" s="9">
        <v>0</v>
      </c>
      <c r="O88" s="13">
        <v>41717</v>
      </c>
      <c r="P88" s="13">
        <v>41717</v>
      </c>
    </row>
    <row r="89" spans="1:16">
      <c r="A89" s="10">
        <v>2014</v>
      </c>
      <c r="B89" s="11" t="s">
        <v>489</v>
      </c>
      <c r="C89" s="11" t="s">
        <v>490</v>
      </c>
      <c r="D89" s="12">
        <v>1002052</v>
      </c>
      <c r="E89" s="12">
        <v>2</v>
      </c>
      <c r="F89" s="12"/>
      <c r="G89" s="12">
        <v>620</v>
      </c>
      <c r="H89" s="12" t="s">
        <v>92</v>
      </c>
      <c r="I89" s="12"/>
      <c r="J89" s="12" t="s">
        <v>93</v>
      </c>
      <c r="K89" s="12" t="b">
        <v>1</v>
      </c>
      <c r="L89" s="12">
        <v>0</v>
      </c>
      <c r="M89" s="8">
        <v>2014</v>
      </c>
      <c r="N89" s="9">
        <v>30300</v>
      </c>
      <c r="O89" s="13">
        <v>41717</v>
      </c>
      <c r="P89" s="13">
        <v>41717</v>
      </c>
    </row>
    <row r="90" spans="1:16">
      <c r="A90" s="10">
        <v>2014</v>
      </c>
      <c r="B90" s="11" t="s">
        <v>489</v>
      </c>
      <c r="C90" s="11" t="s">
        <v>490</v>
      </c>
      <c r="D90" s="12">
        <v>1002052</v>
      </c>
      <c r="E90" s="12">
        <v>2</v>
      </c>
      <c r="F90" s="12"/>
      <c r="G90" s="12">
        <v>840</v>
      </c>
      <c r="H90" s="12">
        <v>13.5</v>
      </c>
      <c r="I90" s="12"/>
      <c r="J90" s="12" t="s">
        <v>123</v>
      </c>
      <c r="K90" s="12" t="b">
        <v>1</v>
      </c>
      <c r="L90" s="12">
        <v>1</v>
      </c>
      <c r="M90" s="8">
        <v>2015</v>
      </c>
      <c r="N90" s="9">
        <v>0</v>
      </c>
      <c r="O90" s="13">
        <v>41717</v>
      </c>
      <c r="P90" s="13">
        <v>41717</v>
      </c>
    </row>
    <row r="91" spans="1:16">
      <c r="A91" s="10">
        <v>2014</v>
      </c>
      <c r="B91" s="11" t="s">
        <v>489</v>
      </c>
      <c r="C91" s="11" t="s">
        <v>490</v>
      </c>
      <c r="D91" s="12">
        <v>1002052</v>
      </c>
      <c r="E91" s="12">
        <v>2</v>
      </c>
      <c r="F91" s="12"/>
      <c r="G91" s="12">
        <v>560</v>
      </c>
      <c r="H91" s="12">
        <v>10.1</v>
      </c>
      <c r="I91" s="12"/>
      <c r="J91" s="12" t="s">
        <v>86</v>
      </c>
      <c r="K91" s="12" t="b">
        <v>0</v>
      </c>
      <c r="L91" s="12">
        <v>2</v>
      </c>
      <c r="M91" s="8">
        <v>2016</v>
      </c>
      <c r="N91" s="9">
        <v>0</v>
      </c>
      <c r="O91" s="13">
        <v>41717</v>
      </c>
      <c r="P91" s="13">
        <v>41717</v>
      </c>
    </row>
    <row r="92" spans="1:16">
      <c r="A92" s="10">
        <v>2014</v>
      </c>
      <c r="B92" s="11" t="s">
        <v>489</v>
      </c>
      <c r="C92" s="11" t="s">
        <v>490</v>
      </c>
      <c r="D92" s="12">
        <v>1002052</v>
      </c>
      <c r="E92" s="12">
        <v>2</v>
      </c>
      <c r="F92" s="12"/>
      <c r="G92" s="12">
        <v>310</v>
      </c>
      <c r="H92" s="12">
        <v>5.0999999999999996</v>
      </c>
      <c r="I92" s="12"/>
      <c r="J92" s="12" t="s">
        <v>77</v>
      </c>
      <c r="K92" s="12" t="b">
        <v>1</v>
      </c>
      <c r="L92" s="12">
        <v>0</v>
      </c>
      <c r="M92" s="8">
        <v>2014</v>
      </c>
      <c r="N92" s="9">
        <v>773956.19</v>
      </c>
      <c r="O92" s="13">
        <v>41717</v>
      </c>
      <c r="P92" s="13">
        <v>41717</v>
      </c>
    </row>
    <row r="93" spans="1:16">
      <c r="A93" s="10">
        <v>2014</v>
      </c>
      <c r="B93" s="11" t="s">
        <v>489</v>
      </c>
      <c r="C93" s="11" t="s">
        <v>490</v>
      </c>
      <c r="D93" s="12">
        <v>1002052</v>
      </c>
      <c r="E93" s="12">
        <v>2</v>
      </c>
      <c r="F93" s="12"/>
      <c r="G93" s="12">
        <v>769</v>
      </c>
      <c r="H93" s="12">
        <v>12.8</v>
      </c>
      <c r="I93" s="12"/>
      <c r="J93" s="12" t="s">
        <v>414</v>
      </c>
      <c r="K93" s="12" t="b">
        <v>1</v>
      </c>
      <c r="L93" s="12">
        <v>3</v>
      </c>
      <c r="M93" s="8">
        <v>2017</v>
      </c>
      <c r="N93" s="9">
        <v>0</v>
      </c>
      <c r="O93" s="13">
        <v>41717</v>
      </c>
      <c r="P93" s="13">
        <v>41717</v>
      </c>
    </row>
    <row r="94" spans="1:16">
      <c r="A94" s="10">
        <v>2014</v>
      </c>
      <c r="B94" s="11" t="s">
        <v>489</v>
      </c>
      <c r="C94" s="11" t="s">
        <v>490</v>
      </c>
      <c r="D94" s="12">
        <v>1002052</v>
      </c>
      <c r="E94" s="12">
        <v>2</v>
      </c>
      <c r="F94" s="12"/>
      <c r="G94" s="12">
        <v>170</v>
      </c>
      <c r="H94" s="12" t="s">
        <v>63</v>
      </c>
      <c r="I94" s="12"/>
      <c r="J94" s="12" t="s">
        <v>366</v>
      </c>
      <c r="K94" s="12" t="b">
        <v>1</v>
      </c>
      <c r="L94" s="12">
        <v>3</v>
      </c>
      <c r="M94" s="8">
        <v>2017</v>
      </c>
      <c r="N94" s="9">
        <v>0</v>
      </c>
      <c r="O94" s="13">
        <v>41717</v>
      </c>
      <c r="P94" s="13">
        <v>41717</v>
      </c>
    </row>
    <row r="95" spans="1:16">
      <c r="A95" s="10">
        <v>2014</v>
      </c>
      <c r="B95" s="11" t="s">
        <v>489</v>
      </c>
      <c r="C95" s="11" t="s">
        <v>490</v>
      </c>
      <c r="D95" s="12">
        <v>1002052</v>
      </c>
      <c r="E95" s="12">
        <v>2</v>
      </c>
      <c r="F95" s="12"/>
      <c r="G95" s="12">
        <v>150</v>
      </c>
      <c r="H95" s="12" t="s">
        <v>61</v>
      </c>
      <c r="I95" s="12"/>
      <c r="J95" s="12" t="s">
        <v>364</v>
      </c>
      <c r="K95" s="12" t="b">
        <v>1</v>
      </c>
      <c r="L95" s="12">
        <v>0</v>
      </c>
      <c r="M95" s="8">
        <v>2014</v>
      </c>
      <c r="N95" s="9">
        <v>0</v>
      </c>
      <c r="O95" s="13">
        <v>41717</v>
      </c>
      <c r="P95" s="13">
        <v>41717</v>
      </c>
    </row>
    <row r="96" spans="1:16">
      <c r="A96" s="10">
        <v>2014</v>
      </c>
      <c r="B96" s="11" t="s">
        <v>489</v>
      </c>
      <c r="C96" s="11" t="s">
        <v>490</v>
      </c>
      <c r="D96" s="12">
        <v>1002052</v>
      </c>
      <c r="E96" s="12">
        <v>2</v>
      </c>
      <c r="F96" s="12"/>
      <c r="G96" s="12">
        <v>764</v>
      </c>
      <c r="H96" s="12" t="s">
        <v>405</v>
      </c>
      <c r="I96" s="12"/>
      <c r="J96" s="12" t="s">
        <v>406</v>
      </c>
      <c r="K96" s="12" t="b">
        <v>1</v>
      </c>
      <c r="L96" s="12">
        <v>2</v>
      </c>
      <c r="M96" s="8">
        <v>2016</v>
      </c>
      <c r="N96" s="9">
        <v>0</v>
      </c>
      <c r="O96" s="13">
        <v>41717</v>
      </c>
      <c r="P96" s="13">
        <v>41717</v>
      </c>
    </row>
    <row r="97" spans="1:16">
      <c r="A97" s="10">
        <v>2014</v>
      </c>
      <c r="B97" s="11" t="s">
        <v>489</v>
      </c>
      <c r="C97" s="11" t="s">
        <v>490</v>
      </c>
      <c r="D97" s="12">
        <v>1002052</v>
      </c>
      <c r="E97" s="12">
        <v>2</v>
      </c>
      <c r="F97" s="12"/>
      <c r="G97" s="12">
        <v>690</v>
      </c>
      <c r="H97" s="12" t="s">
        <v>101</v>
      </c>
      <c r="I97" s="12"/>
      <c r="J97" s="12" t="s">
        <v>102</v>
      </c>
      <c r="K97" s="12" t="b">
        <v>1</v>
      </c>
      <c r="L97" s="12">
        <v>1</v>
      </c>
      <c r="M97" s="8">
        <v>2015</v>
      </c>
      <c r="N97" s="9">
        <v>0</v>
      </c>
      <c r="O97" s="13">
        <v>41717</v>
      </c>
      <c r="P97" s="13">
        <v>41717</v>
      </c>
    </row>
    <row r="98" spans="1:16">
      <c r="A98" s="10">
        <v>2014</v>
      </c>
      <c r="B98" s="11" t="s">
        <v>489</v>
      </c>
      <c r="C98" s="11" t="s">
        <v>490</v>
      </c>
      <c r="D98" s="12">
        <v>1002052</v>
      </c>
      <c r="E98" s="12">
        <v>2</v>
      </c>
      <c r="F98" s="12"/>
      <c r="G98" s="12">
        <v>800</v>
      </c>
      <c r="H98" s="12">
        <v>13.1</v>
      </c>
      <c r="I98" s="12"/>
      <c r="J98" s="12" t="s">
        <v>119</v>
      </c>
      <c r="K98" s="12" t="b">
        <v>1</v>
      </c>
      <c r="L98" s="12">
        <v>0</v>
      </c>
      <c r="M98" s="8">
        <v>2014</v>
      </c>
      <c r="N98" s="9">
        <v>0</v>
      </c>
      <c r="O98" s="13">
        <v>41717</v>
      </c>
      <c r="P98" s="13">
        <v>41717</v>
      </c>
    </row>
    <row r="99" spans="1:16">
      <c r="A99" s="10">
        <v>2014</v>
      </c>
      <c r="B99" s="11" t="s">
        <v>489</v>
      </c>
      <c r="C99" s="11" t="s">
        <v>490</v>
      </c>
      <c r="D99" s="12">
        <v>1002052</v>
      </c>
      <c r="E99" s="12">
        <v>2</v>
      </c>
      <c r="F99" s="12"/>
      <c r="G99" s="12">
        <v>320</v>
      </c>
      <c r="H99" s="12" t="s">
        <v>78</v>
      </c>
      <c r="I99" s="12" t="s">
        <v>375</v>
      </c>
      <c r="J99" s="12" t="s">
        <v>376</v>
      </c>
      <c r="K99" s="12" t="b">
        <v>1</v>
      </c>
      <c r="L99" s="12">
        <v>0</v>
      </c>
      <c r="M99" s="8">
        <v>2014</v>
      </c>
      <c r="N99" s="9">
        <v>0</v>
      </c>
      <c r="O99" s="13">
        <v>41717</v>
      </c>
      <c r="P99" s="13">
        <v>41717</v>
      </c>
    </row>
    <row r="100" spans="1:16">
      <c r="A100" s="10">
        <v>2014</v>
      </c>
      <c r="B100" s="11" t="s">
        <v>489</v>
      </c>
      <c r="C100" s="11" t="s">
        <v>490</v>
      </c>
      <c r="D100" s="12">
        <v>1002052</v>
      </c>
      <c r="E100" s="12">
        <v>2</v>
      </c>
      <c r="F100" s="12"/>
      <c r="G100" s="12">
        <v>760</v>
      </c>
      <c r="H100" s="12">
        <v>12.4</v>
      </c>
      <c r="I100" s="12"/>
      <c r="J100" s="12" t="s">
        <v>113</v>
      </c>
      <c r="K100" s="12" t="b">
        <v>1</v>
      </c>
      <c r="L100" s="12">
        <v>2</v>
      </c>
      <c r="M100" s="8">
        <v>2016</v>
      </c>
      <c r="N100" s="9">
        <v>0</v>
      </c>
      <c r="O100" s="13">
        <v>41717</v>
      </c>
      <c r="P100" s="13">
        <v>41717</v>
      </c>
    </row>
    <row r="101" spans="1:16">
      <c r="A101" s="10">
        <v>2014</v>
      </c>
      <c r="B101" s="11" t="s">
        <v>489</v>
      </c>
      <c r="C101" s="11" t="s">
        <v>490</v>
      </c>
      <c r="D101" s="12">
        <v>1002052</v>
      </c>
      <c r="E101" s="12">
        <v>2</v>
      </c>
      <c r="F101" s="12"/>
      <c r="G101" s="12">
        <v>670</v>
      </c>
      <c r="H101" s="12">
        <v>12.1</v>
      </c>
      <c r="I101" s="12"/>
      <c r="J101" s="12" t="s">
        <v>98</v>
      </c>
      <c r="K101" s="12" t="b">
        <v>1</v>
      </c>
      <c r="L101" s="12">
        <v>2</v>
      </c>
      <c r="M101" s="8">
        <v>2016</v>
      </c>
      <c r="N101" s="9">
        <v>0</v>
      </c>
      <c r="O101" s="13">
        <v>41717</v>
      </c>
      <c r="P101" s="13">
        <v>41717</v>
      </c>
    </row>
    <row r="102" spans="1:16">
      <c r="A102" s="10">
        <v>2014</v>
      </c>
      <c r="B102" s="11" t="s">
        <v>489</v>
      </c>
      <c r="C102" s="11" t="s">
        <v>490</v>
      </c>
      <c r="D102" s="12">
        <v>1002052</v>
      </c>
      <c r="E102" s="12">
        <v>2</v>
      </c>
      <c r="F102" s="12"/>
      <c r="G102" s="12">
        <v>750</v>
      </c>
      <c r="H102" s="12" t="s">
        <v>111</v>
      </c>
      <c r="I102" s="12"/>
      <c r="J102" s="12" t="s">
        <v>112</v>
      </c>
      <c r="K102" s="12" t="b">
        <v>0</v>
      </c>
      <c r="L102" s="12">
        <v>0</v>
      </c>
      <c r="M102" s="8">
        <v>2014</v>
      </c>
      <c r="N102" s="9">
        <v>261432.67</v>
      </c>
      <c r="O102" s="13">
        <v>41717</v>
      </c>
      <c r="P102" s="13">
        <v>41717</v>
      </c>
    </row>
    <row r="103" spans="1:16">
      <c r="A103" s="10">
        <v>2014</v>
      </c>
      <c r="B103" s="11" t="s">
        <v>489</v>
      </c>
      <c r="C103" s="11" t="s">
        <v>490</v>
      </c>
      <c r="D103" s="12">
        <v>1002052</v>
      </c>
      <c r="E103" s="12">
        <v>2</v>
      </c>
      <c r="F103" s="12"/>
      <c r="G103" s="12">
        <v>410</v>
      </c>
      <c r="H103" s="12">
        <v>8</v>
      </c>
      <c r="I103" s="12"/>
      <c r="J103" s="12" t="s">
        <v>146</v>
      </c>
      <c r="K103" s="12" t="b">
        <v>1</v>
      </c>
      <c r="L103" s="12">
        <v>1</v>
      </c>
      <c r="M103" s="8">
        <v>2015</v>
      </c>
      <c r="N103" s="9">
        <v>0</v>
      </c>
      <c r="O103" s="13">
        <v>41717</v>
      </c>
      <c r="P103" s="13">
        <v>41717</v>
      </c>
    </row>
    <row r="104" spans="1:16">
      <c r="A104" s="10">
        <v>2014</v>
      </c>
      <c r="B104" s="11" t="s">
        <v>489</v>
      </c>
      <c r="C104" s="11" t="s">
        <v>490</v>
      </c>
      <c r="D104" s="12">
        <v>1002052</v>
      </c>
      <c r="E104" s="12">
        <v>2</v>
      </c>
      <c r="F104" s="12"/>
      <c r="G104" s="12">
        <v>520</v>
      </c>
      <c r="H104" s="12" t="s">
        <v>83</v>
      </c>
      <c r="I104" s="12"/>
      <c r="J104" s="12" t="s">
        <v>396</v>
      </c>
      <c r="K104" s="12" t="b">
        <v>1</v>
      </c>
      <c r="L104" s="12">
        <v>3</v>
      </c>
      <c r="M104" s="8">
        <v>2017</v>
      </c>
      <c r="N104" s="9">
        <v>0.18679999999999999</v>
      </c>
      <c r="O104" s="13">
        <v>41717</v>
      </c>
      <c r="P104" s="13">
        <v>41717</v>
      </c>
    </row>
    <row r="105" spans="1:16">
      <c r="A105" s="10">
        <v>2014</v>
      </c>
      <c r="B105" s="11" t="s">
        <v>489</v>
      </c>
      <c r="C105" s="11" t="s">
        <v>490</v>
      </c>
      <c r="D105" s="12">
        <v>1002052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414</v>
      </c>
      <c r="K105" s="12" t="b">
        <v>1</v>
      </c>
      <c r="L105" s="12">
        <v>0</v>
      </c>
      <c r="M105" s="8">
        <v>2014</v>
      </c>
      <c r="N105" s="9">
        <v>0</v>
      </c>
      <c r="O105" s="13">
        <v>41717</v>
      </c>
      <c r="P105" s="13">
        <v>41717</v>
      </c>
    </row>
    <row r="106" spans="1:16">
      <c r="A106" s="10">
        <v>2014</v>
      </c>
      <c r="B106" s="11" t="s">
        <v>489</v>
      </c>
      <c r="C106" s="11" t="s">
        <v>490</v>
      </c>
      <c r="D106" s="12">
        <v>1002052</v>
      </c>
      <c r="E106" s="12">
        <v>2</v>
      </c>
      <c r="F106" s="12"/>
      <c r="G106" s="12">
        <v>870</v>
      </c>
      <c r="H106" s="12">
        <v>14</v>
      </c>
      <c r="I106" s="12"/>
      <c r="J106" s="12" t="s">
        <v>126</v>
      </c>
      <c r="K106" s="12" t="b">
        <v>1</v>
      </c>
      <c r="L106" s="12">
        <v>1</v>
      </c>
      <c r="M106" s="8">
        <v>2015</v>
      </c>
      <c r="N106" s="9">
        <v>0</v>
      </c>
      <c r="O106" s="13">
        <v>41717</v>
      </c>
      <c r="P106" s="13">
        <v>41717</v>
      </c>
    </row>
    <row r="107" spans="1:16">
      <c r="A107" s="10">
        <v>2014</v>
      </c>
      <c r="B107" s="11" t="s">
        <v>489</v>
      </c>
      <c r="C107" s="11" t="s">
        <v>490</v>
      </c>
      <c r="D107" s="12">
        <v>1002052</v>
      </c>
      <c r="E107" s="12">
        <v>2</v>
      </c>
      <c r="F107" s="12"/>
      <c r="G107" s="12">
        <v>60</v>
      </c>
      <c r="H107" s="12" t="s">
        <v>47</v>
      </c>
      <c r="I107" s="12"/>
      <c r="J107" s="12" t="s">
        <v>48</v>
      </c>
      <c r="K107" s="12" t="b">
        <v>1</v>
      </c>
      <c r="L107" s="12">
        <v>2</v>
      </c>
      <c r="M107" s="8">
        <v>2016</v>
      </c>
      <c r="N107" s="9">
        <v>2811000</v>
      </c>
      <c r="O107" s="13">
        <v>41717</v>
      </c>
      <c r="P107" s="13">
        <v>41717</v>
      </c>
    </row>
    <row r="108" spans="1:16">
      <c r="A108" s="10">
        <v>2014</v>
      </c>
      <c r="B108" s="11" t="s">
        <v>489</v>
      </c>
      <c r="C108" s="11" t="s">
        <v>490</v>
      </c>
      <c r="D108" s="12">
        <v>1002052</v>
      </c>
      <c r="E108" s="12">
        <v>2</v>
      </c>
      <c r="F108" s="12"/>
      <c r="G108" s="12">
        <v>70</v>
      </c>
      <c r="H108" s="12" t="s">
        <v>49</v>
      </c>
      <c r="I108" s="12"/>
      <c r="J108" s="12" t="s">
        <v>50</v>
      </c>
      <c r="K108" s="12" t="b">
        <v>1</v>
      </c>
      <c r="L108" s="12">
        <v>2</v>
      </c>
      <c r="M108" s="8">
        <v>2016</v>
      </c>
      <c r="N108" s="9">
        <v>3294922</v>
      </c>
      <c r="O108" s="13">
        <v>41717</v>
      </c>
      <c r="P108" s="13">
        <v>41717</v>
      </c>
    </row>
    <row r="109" spans="1:16">
      <c r="A109" s="10">
        <v>2014</v>
      </c>
      <c r="B109" s="11" t="s">
        <v>489</v>
      </c>
      <c r="C109" s="11" t="s">
        <v>490</v>
      </c>
      <c r="D109" s="12">
        <v>1002052</v>
      </c>
      <c r="E109" s="12">
        <v>2</v>
      </c>
      <c r="F109" s="12"/>
      <c r="G109" s="12">
        <v>910</v>
      </c>
      <c r="H109" s="12" t="s">
        <v>130</v>
      </c>
      <c r="I109" s="12"/>
      <c r="J109" s="12" t="s">
        <v>131</v>
      </c>
      <c r="K109" s="12" t="b">
        <v>1</v>
      </c>
      <c r="L109" s="12">
        <v>2</v>
      </c>
      <c r="M109" s="8">
        <v>2016</v>
      </c>
      <c r="N109" s="9">
        <v>0</v>
      </c>
      <c r="O109" s="13">
        <v>41717</v>
      </c>
      <c r="P109" s="13">
        <v>41717</v>
      </c>
    </row>
    <row r="110" spans="1:16">
      <c r="A110" s="10">
        <v>2014</v>
      </c>
      <c r="B110" s="11" t="s">
        <v>489</v>
      </c>
      <c r="C110" s="11" t="s">
        <v>490</v>
      </c>
      <c r="D110" s="12">
        <v>1002052</v>
      </c>
      <c r="E110" s="12">
        <v>2</v>
      </c>
      <c r="F110" s="12"/>
      <c r="G110" s="12">
        <v>90</v>
      </c>
      <c r="H110" s="12">
        <v>1.2</v>
      </c>
      <c r="I110" s="12"/>
      <c r="J110" s="12" t="s">
        <v>53</v>
      </c>
      <c r="K110" s="12" t="b">
        <v>1</v>
      </c>
      <c r="L110" s="12">
        <v>2</v>
      </c>
      <c r="M110" s="8">
        <v>2016</v>
      </c>
      <c r="N110" s="9">
        <v>0</v>
      </c>
      <c r="O110" s="13">
        <v>41717</v>
      </c>
      <c r="P110" s="13">
        <v>41717</v>
      </c>
    </row>
    <row r="111" spans="1:16">
      <c r="A111" s="10">
        <v>2014</v>
      </c>
      <c r="B111" s="11" t="s">
        <v>489</v>
      </c>
      <c r="C111" s="11" t="s">
        <v>490</v>
      </c>
      <c r="D111" s="12">
        <v>1002052</v>
      </c>
      <c r="E111" s="12">
        <v>2</v>
      </c>
      <c r="F111" s="12"/>
      <c r="G111" s="12">
        <v>610</v>
      </c>
      <c r="H111" s="12" t="s">
        <v>90</v>
      </c>
      <c r="I111" s="12"/>
      <c r="J111" s="12" t="s">
        <v>91</v>
      </c>
      <c r="K111" s="12" t="b">
        <v>1</v>
      </c>
      <c r="L111" s="12">
        <v>0</v>
      </c>
      <c r="M111" s="8">
        <v>2014</v>
      </c>
      <c r="N111" s="9">
        <v>261432.67</v>
      </c>
      <c r="O111" s="13">
        <v>41717</v>
      </c>
      <c r="P111" s="13">
        <v>41717</v>
      </c>
    </row>
    <row r="112" spans="1:16">
      <c r="A112" s="10">
        <v>2014</v>
      </c>
      <c r="B112" s="11" t="s">
        <v>489</v>
      </c>
      <c r="C112" s="11" t="s">
        <v>490</v>
      </c>
      <c r="D112" s="12">
        <v>1002052</v>
      </c>
      <c r="E112" s="12">
        <v>2</v>
      </c>
      <c r="F112" s="12"/>
      <c r="G112" s="12">
        <v>190</v>
      </c>
      <c r="H112" s="12">
        <v>2.2000000000000002</v>
      </c>
      <c r="I112" s="12"/>
      <c r="J112" s="12" t="s">
        <v>65</v>
      </c>
      <c r="K112" s="12" t="b">
        <v>0</v>
      </c>
      <c r="L112" s="12">
        <v>2</v>
      </c>
      <c r="M112" s="8">
        <v>2016</v>
      </c>
      <c r="N112" s="9">
        <v>2682000</v>
      </c>
      <c r="O112" s="13">
        <v>41717</v>
      </c>
      <c r="P112" s="13">
        <v>41717</v>
      </c>
    </row>
    <row r="113" spans="1:16">
      <c r="A113" s="10">
        <v>2014</v>
      </c>
      <c r="B113" s="11" t="s">
        <v>489</v>
      </c>
      <c r="C113" s="11" t="s">
        <v>490</v>
      </c>
      <c r="D113" s="12">
        <v>1002052</v>
      </c>
      <c r="E113" s="12">
        <v>2</v>
      </c>
      <c r="F113" s="12"/>
      <c r="G113" s="12">
        <v>960</v>
      </c>
      <c r="H113" s="12">
        <v>15.1</v>
      </c>
      <c r="I113" s="12"/>
      <c r="J113" s="12" t="s">
        <v>419</v>
      </c>
      <c r="K113" s="12" t="b">
        <v>1</v>
      </c>
      <c r="L113" s="12">
        <v>1</v>
      </c>
      <c r="M113" s="8">
        <v>2015</v>
      </c>
      <c r="N113" s="9">
        <v>0</v>
      </c>
      <c r="O113" s="13">
        <v>41717</v>
      </c>
      <c r="P113" s="13">
        <v>41717</v>
      </c>
    </row>
    <row r="114" spans="1:16">
      <c r="A114" s="10">
        <v>2014</v>
      </c>
      <c r="B114" s="11" t="s">
        <v>489</v>
      </c>
      <c r="C114" s="11" t="s">
        <v>490</v>
      </c>
      <c r="D114" s="12">
        <v>1002052</v>
      </c>
      <c r="E114" s="12">
        <v>2</v>
      </c>
      <c r="F114" s="12"/>
      <c r="G114" s="12">
        <v>950</v>
      </c>
      <c r="H114" s="12">
        <v>15</v>
      </c>
      <c r="I114" s="12"/>
      <c r="J114" s="12" t="s">
        <v>417</v>
      </c>
      <c r="K114" s="12" t="b">
        <v>1</v>
      </c>
      <c r="L114" s="12">
        <v>3</v>
      </c>
      <c r="M114" s="8">
        <v>2017</v>
      </c>
      <c r="N114" s="9">
        <v>0</v>
      </c>
      <c r="O114" s="13">
        <v>41717</v>
      </c>
      <c r="P114" s="13">
        <v>41717</v>
      </c>
    </row>
    <row r="115" spans="1:16">
      <c r="A115" s="10">
        <v>2014</v>
      </c>
      <c r="B115" s="11" t="s">
        <v>489</v>
      </c>
      <c r="C115" s="11" t="s">
        <v>490</v>
      </c>
      <c r="D115" s="12">
        <v>1002052</v>
      </c>
      <c r="E115" s="12">
        <v>2</v>
      </c>
      <c r="F115" s="12"/>
      <c r="G115" s="12">
        <v>500</v>
      </c>
      <c r="H115" s="12">
        <v>9.4</v>
      </c>
      <c r="I115" s="12" t="s">
        <v>390</v>
      </c>
      <c r="J115" s="12" t="s">
        <v>391</v>
      </c>
      <c r="K115" s="12" t="b">
        <v>0</v>
      </c>
      <c r="L115" s="12">
        <v>0</v>
      </c>
      <c r="M115" s="8">
        <v>2014</v>
      </c>
      <c r="N115" s="9">
        <v>5.6399999999999999E-2</v>
      </c>
      <c r="O115" s="13">
        <v>41717</v>
      </c>
      <c r="P115" s="13">
        <v>41717</v>
      </c>
    </row>
    <row r="116" spans="1:16">
      <c r="A116" s="10">
        <v>2014</v>
      </c>
      <c r="B116" s="11" t="s">
        <v>489</v>
      </c>
      <c r="C116" s="11" t="s">
        <v>490</v>
      </c>
      <c r="D116" s="12">
        <v>1002052</v>
      </c>
      <c r="E116" s="12">
        <v>2</v>
      </c>
      <c r="F116" s="12"/>
      <c r="G116" s="12">
        <v>110</v>
      </c>
      <c r="H116" s="12" t="s">
        <v>56</v>
      </c>
      <c r="I116" s="12"/>
      <c r="J116" s="12" t="s">
        <v>57</v>
      </c>
      <c r="K116" s="12" t="b">
        <v>1</v>
      </c>
      <c r="L116" s="12">
        <v>3</v>
      </c>
      <c r="M116" s="8">
        <v>2017</v>
      </c>
      <c r="N116" s="9">
        <v>0</v>
      </c>
      <c r="O116" s="13">
        <v>41717</v>
      </c>
      <c r="P116" s="13">
        <v>41717</v>
      </c>
    </row>
    <row r="117" spans="1:16">
      <c r="A117" s="10">
        <v>2014</v>
      </c>
      <c r="B117" s="11" t="s">
        <v>489</v>
      </c>
      <c r="C117" s="11" t="s">
        <v>490</v>
      </c>
      <c r="D117" s="12">
        <v>1002052</v>
      </c>
      <c r="E117" s="12">
        <v>2</v>
      </c>
      <c r="F117" s="12"/>
      <c r="G117" s="12">
        <v>930</v>
      </c>
      <c r="H117" s="12" t="s">
        <v>133</v>
      </c>
      <c r="I117" s="12"/>
      <c r="J117" s="12" t="s">
        <v>134</v>
      </c>
      <c r="K117" s="12" t="b">
        <v>1</v>
      </c>
      <c r="L117" s="12">
        <v>1</v>
      </c>
      <c r="M117" s="8">
        <v>2015</v>
      </c>
      <c r="N117" s="9">
        <v>0</v>
      </c>
      <c r="O117" s="13">
        <v>41717</v>
      </c>
      <c r="P117" s="13">
        <v>41717</v>
      </c>
    </row>
    <row r="118" spans="1:16">
      <c r="A118" s="10">
        <v>2014</v>
      </c>
      <c r="B118" s="11" t="s">
        <v>489</v>
      </c>
      <c r="C118" s="11" t="s">
        <v>490</v>
      </c>
      <c r="D118" s="12">
        <v>1002052</v>
      </c>
      <c r="E118" s="12">
        <v>2</v>
      </c>
      <c r="F118" s="12"/>
      <c r="G118" s="12">
        <v>720</v>
      </c>
      <c r="H118" s="12" t="s">
        <v>106</v>
      </c>
      <c r="I118" s="12"/>
      <c r="J118" s="12" t="s">
        <v>107</v>
      </c>
      <c r="K118" s="12" t="b">
        <v>0</v>
      </c>
      <c r="L118" s="12">
        <v>0</v>
      </c>
      <c r="M118" s="8">
        <v>2014</v>
      </c>
      <c r="N118" s="9">
        <v>2114404</v>
      </c>
      <c r="O118" s="13">
        <v>41717</v>
      </c>
      <c r="P118" s="13">
        <v>41717</v>
      </c>
    </row>
    <row r="119" spans="1:16">
      <c r="A119" s="10">
        <v>2014</v>
      </c>
      <c r="B119" s="11" t="s">
        <v>489</v>
      </c>
      <c r="C119" s="11" t="s">
        <v>490</v>
      </c>
      <c r="D119" s="12">
        <v>1002052</v>
      </c>
      <c r="E119" s="12">
        <v>2</v>
      </c>
      <c r="F119" s="12"/>
      <c r="G119" s="12">
        <v>670</v>
      </c>
      <c r="H119" s="12">
        <v>12.1</v>
      </c>
      <c r="I119" s="12"/>
      <c r="J119" s="12" t="s">
        <v>98</v>
      </c>
      <c r="K119" s="12" t="b">
        <v>1</v>
      </c>
      <c r="L119" s="12">
        <v>3</v>
      </c>
      <c r="M119" s="8">
        <v>2017</v>
      </c>
      <c r="N119" s="9">
        <v>0</v>
      </c>
      <c r="O119" s="13">
        <v>41717</v>
      </c>
      <c r="P119" s="13">
        <v>41717</v>
      </c>
    </row>
    <row r="120" spans="1:16">
      <c r="A120" s="10">
        <v>2014</v>
      </c>
      <c r="B120" s="11" t="s">
        <v>489</v>
      </c>
      <c r="C120" s="11" t="s">
        <v>490</v>
      </c>
      <c r="D120" s="12">
        <v>1002052</v>
      </c>
      <c r="E120" s="12">
        <v>2</v>
      </c>
      <c r="F120" s="12"/>
      <c r="G120" s="12">
        <v>540</v>
      </c>
      <c r="H120" s="12" t="s">
        <v>84</v>
      </c>
      <c r="I120" s="12" t="s">
        <v>399</v>
      </c>
      <c r="J120" s="12" t="s">
        <v>400</v>
      </c>
      <c r="K120" s="12" t="b">
        <v>0</v>
      </c>
      <c r="L120" s="12">
        <v>3</v>
      </c>
      <c r="M120" s="8">
        <v>2017</v>
      </c>
      <c r="N120" s="9">
        <v>1868</v>
      </c>
      <c r="O120" s="13">
        <v>41717</v>
      </c>
      <c r="P120" s="13">
        <v>41717</v>
      </c>
    </row>
    <row r="121" spans="1:16">
      <c r="A121" s="10">
        <v>2014</v>
      </c>
      <c r="B121" s="11" t="s">
        <v>489</v>
      </c>
      <c r="C121" s="11" t="s">
        <v>490</v>
      </c>
      <c r="D121" s="12">
        <v>1002052</v>
      </c>
      <c r="E121" s="12">
        <v>2</v>
      </c>
      <c r="F121" s="12"/>
      <c r="G121" s="12">
        <v>600</v>
      </c>
      <c r="H121" s="12">
        <v>11.3</v>
      </c>
      <c r="I121" s="12" t="s">
        <v>401</v>
      </c>
      <c r="J121" s="12" t="s">
        <v>402</v>
      </c>
      <c r="K121" s="12" t="b">
        <v>1</v>
      </c>
      <c r="L121" s="12">
        <v>3</v>
      </c>
      <c r="M121" s="8">
        <v>2017</v>
      </c>
      <c r="N121" s="9">
        <v>0</v>
      </c>
      <c r="O121" s="13">
        <v>41717</v>
      </c>
      <c r="P121" s="13">
        <v>41717</v>
      </c>
    </row>
    <row r="122" spans="1:16">
      <c r="A122" s="10">
        <v>2014</v>
      </c>
      <c r="B122" s="11" t="s">
        <v>489</v>
      </c>
      <c r="C122" s="11" t="s">
        <v>490</v>
      </c>
      <c r="D122" s="12">
        <v>1002052</v>
      </c>
      <c r="E122" s="12">
        <v>2</v>
      </c>
      <c r="F122" s="12"/>
      <c r="G122" s="12">
        <v>184</v>
      </c>
      <c r="H122" s="12" t="s">
        <v>370</v>
      </c>
      <c r="I122" s="12"/>
      <c r="J122" s="12" t="s">
        <v>371</v>
      </c>
      <c r="K122" s="12" t="b">
        <v>0</v>
      </c>
      <c r="L122" s="12">
        <v>0</v>
      </c>
      <c r="M122" s="8">
        <v>2014</v>
      </c>
      <c r="N122" s="9">
        <v>0</v>
      </c>
      <c r="O122" s="13">
        <v>41717</v>
      </c>
      <c r="P122" s="13">
        <v>41717</v>
      </c>
    </row>
    <row r="123" spans="1:16">
      <c r="A123" s="10">
        <v>2014</v>
      </c>
      <c r="B123" s="11" t="s">
        <v>489</v>
      </c>
      <c r="C123" s="11" t="s">
        <v>490</v>
      </c>
      <c r="D123" s="12">
        <v>1002052</v>
      </c>
      <c r="E123" s="12">
        <v>2</v>
      </c>
      <c r="F123" s="12"/>
      <c r="G123" s="12">
        <v>765</v>
      </c>
      <c r="H123" s="12">
        <v>12.6</v>
      </c>
      <c r="I123" s="12"/>
      <c r="J123" s="12" t="s">
        <v>408</v>
      </c>
      <c r="K123" s="12" t="b">
        <v>1</v>
      </c>
      <c r="L123" s="12">
        <v>0</v>
      </c>
      <c r="M123" s="8">
        <v>2014</v>
      </c>
      <c r="N123" s="9">
        <v>0</v>
      </c>
      <c r="O123" s="13">
        <v>41717</v>
      </c>
      <c r="P123" s="13">
        <v>41717</v>
      </c>
    </row>
    <row r="124" spans="1:16">
      <c r="A124" s="10">
        <v>2014</v>
      </c>
      <c r="B124" s="11" t="s">
        <v>489</v>
      </c>
      <c r="C124" s="11" t="s">
        <v>490</v>
      </c>
      <c r="D124" s="12">
        <v>1002052</v>
      </c>
      <c r="E124" s="12">
        <v>2</v>
      </c>
      <c r="F124" s="12"/>
      <c r="G124" s="12">
        <v>950</v>
      </c>
      <c r="H124" s="12">
        <v>15</v>
      </c>
      <c r="I124" s="12"/>
      <c r="J124" s="12" t="s">
        <v>417</v>
      </c>
      <c r="K124" s="12" t="b">
        <v>1</v>
      </c>
      <c r="L124" s="12">
        <v>0</v>
      </c>
      <c r="M124" s="8">
        <v>2014</v>
      </c>
      <c r="N124" s="9">
        <v>0</v>
      </c>
      <c r="O124" s="13">
        <v>41717</v>
      </c>
      <c r="P124" s="13">
        <v>41717</v>
      </c>
    </row>
    <row r="125" spans="1:16">
      <c r="A125" s="10">
        <v>2014</v>
      </c>
      <c r="B125" s="11" t="s">
        <v>489</v>
      </c>
      <c r="C125" s="11" t="s">
        <v>490</v>
      </c>
      <c r="D125" s="12">
        <v>1002052</v>
      </c>
      <c r="E125" s="12">
        <v>2</v>
      </c>
      <c r="F125" s="12"/>
      <c r="G125" s="12">
        <v>850</v>
      </c>
      <c r="H125" s="12">
        <v>13.6</v>
      </c>
      <c r="I125" s="12"/>
      <c r="J125" s="12" t="s">
        <v>124</v>
      </c>
      <c r="K125" s="12" t="b">
        <v>1</v>
      </c>
      <c r="L125" s="12">
        <v>2</v>
      </c>
      <c r="M125" s="8">
        <v>2016</v>
      </c>
      <c r="N125" s="9">
        <v>0</v>
      </c>
      <c r="O125" s="13">
        <v>41717</v>
      </c>
      <c r="P125" s="13">
        <v>41717</v>
      </c>
    </row>
    <row r="126" spans="1:16">
      <c r="A126" s="10">
        <v>2014</v>
      </c>
      <c r="B126" s="11" t="s">
        <v>489</v>
      </c>
      <c r="C126" s="11" t="s">
        <v>490</v>
      </c>
      <c r="D126" s="12">
        <v>1002052</v>
      </c>
      <c r="E126" s="12">
        <v>2</v>
      </c>
      <c r="F126" s="12"/>
      <c r="G126" s="12">
        <v>480</v>
      </c>
      <c r="H126" s="12">
        <v>9.1999999999999993</v>
      </c>
      <c r="I126" s="12" t="s">
        <v>387</v>
      </c>
      <c r="J126" s="12" t="s">
        <v>388</v>
      </c>
      <c r="K126" s="12" t="b">
        <v>0</v>
      </c>
      <c r="L126" s="12">
        <v>2</v>
      </c>
      <c r="M126" s="8">
        <v>2016</v>
      </c>
      <c r="N126" s="9">
        <v>0</v>
      </c>
      <c r="O126" s="13">
        <v>41717</v>
      </c>
      <c r="P126" s="13">
        <v>41717</v>
      </c>
    </row>
    <row r="127" spans="1:16">
      <c r="A127" s="10">
        <v>2014</v>
      </c>
      <c r="B127" s="11" t="s">
        <v>489</v>
      </c>
      <c r="C127" s="11" t="s">
        <v>490</v>
      </c>
      <c r="D127" s="12">
        <v>1002052</v>
      </c>
      <c r="E127" s="12">
        <v>2</v>
      </c>
      <c r="F127" s="12"/>
      <c r="G127" s="12">
        <v>700</v>
      </c>
      <c r="H127" s="12">
        <v>12.2</v>
      </c>
      <c r="I127" s="12"/>
      <c r="J127" s="12" t="s">
        <v>103</v>
      </c>
      <c r="K127" s="12" t="b">
        <v>0</v>
      </c>
      <c r="L127" s="12">
        <v>2</v>
      </c>
      <c r="M127" s="8">
        <v>2016</v>
      </c>
      <c r="N127" s="9">
        <v>0</v>
      </c>
      <c r="O127" s="13">
        <v>41717</v>
      </c>
      <c r="P127" s="13">
        <v>41717</v>
      </c>
    </row>
    <row r="128" spans="1:16">
      <c r="A128" s="10">
        <v>2014</v>
      </c>
      <c r="B128" s="11" t="s">
        <v>489</v>
      </c>
      <c r="C128" s="11" t="s">
        <v>490</v>
      </c>
      <c r="D128" s="12">
        <v>1002052</v>
      </c>
      <c r="E128" s="12">
        <v>2</v>
      </c>
      <c r="F128" s="12"/>
      <c r="G128" s="12">
        <v>740</v>
      </c>
      <c r="H128" s="12" t="s">
        <v>109</v>
      </c>
      <c r="I128" s="12"/>
      <c r="J128" s="12" t="s">
        <v>110</v>
      </c>
      <c r="K128" s="12" t="b">
        <v>0</v>
      </c>
      <c r="L128" s="12">
        <v>2</v>
      </c>
      <c r="M128" s="8">
        <v>2016</v>
      </c>
      <c r="N128" s="9">
        <v>0</v>
      </c>
      <c r="O128" s="13">
        <v>41717</v>
      </c>
      <c r="P128" s="13">
        <v>41717</v>
      </c>
    </row>
    <row r="129" spans="1:16">
      <c r="A129" s="10">
        <v>2014</v>
      </c>
      <c r="B129" s="11" t="s">
        <v>489</v>
      </c>
      <c r="C129" s="11" t="s">
        <v>490</v>
      </c>
      <c r="D129" s="12">
        <v>1002052</v>
      </c>
      <c r="E129" s="12">
        <v>2</v>
      </c>
      <c r="F129" s="12"/>
      <c r="G129" s="12">
        <v>508</v>
      </c>
      <c r="H129" s="12">
        <v>9.5</v>
      </c>
      <c r="I129" s="12" t="s">
        <v>392</v>
      </c>
      <c r="J129" s="12" t="s">
        <v>393</v>
      </c>
      <c r="K129" s="12" t="b">
        <v>0</v>
      </c>
      <c r="L129" s="12">
        <v>2</v>
      </c>
      <c r="M129" s="8">
        <v>2016</v>
      </c>
      <c r="N129" s="9">
        <v>0.22259999999999999</v>
      </c>
      <c r="O129" s="13">
        <v>41717</v>
      </c>
      <c r="P129" s="13">
        <v>41717</v>
      </c>
    </row>
    <row r="130" spans="1:16">
      <c r="A130" s="10">
        <v>2014</v>
      </c>
      <c r="B130" s="11" t="s">
        <v>489</v>
      </c>
      <c r="C130" s="11" t="s">
        <v>490</v>
      </c>
      <c r="D130" s="12">
        <v>1002052</v>
      </c>
      <c r="E130" s="12">
        <v>2</v>
      </c>
      <c r="F130" s="12"/>
      <c r="G130" s="12">
        <v>334</v>
      </c>
      <c r="H130" s="12" t="s">
        <v>378</v>
      </c>
      <c r="I130" s="12"/>
      <c r="J130" s="12" t="s">
        <v>379</v>
      </c>
      <c r="K130" s="12" t="b">
        <v>1</v>
      </c>
      <c r="L130" s="12">
        <v>3</v>
      </c>
      <c r="M130" s="8">
        <v>2017</v>
      </c>
      <c r="N130" s="9">
        <v>0</v>
      </c>
      <c r="O130" s="13">
        <v>41717</v>
      </c>
      <c r="P130" s="13">
        <v>41717</v>
      </c>
    </row>
    <row r="131" spans="1:16">
      <c r="A131" s="10">
        <v>2014</v>
      </c>
      <c r="B131" s="11" t="s">
        <v>489</v>
      </c>
      <c r="C131" s="11" t="s">
        <v>490</v>
      </c>
      <c r="D131" s="12">
        <v>1002052</v>
      </c>
      <c r="E131" s="12">
        <v>2</v>
      </c>
      <c r="F131" s="12"/>
      <c r="G131" s="12">
        <v>180</v>
      </c>
      <c r="H131" s="12" t="s">
        <v>64</v>
      </c>
      <c r="I131" s="12"/>
      <c r="J131" s="12" t="s">
        <v>367</v>
      </c>
      <c r="K131" s="12" t="b">
        <v>0</v>
      </c>
      <c r="L131" s="12">
        <v>2</v>
      </c>
      <c r="M131" s="8">
        <v>2016</v>
      </c>
      <c r="N131" s="9">
        <v>0</v>
      </c>
      <c r="O131" s="13">
        <v>41717</v>
      </c>
      <c r="P131" s="13">
        <v>41717</v>
      </c>
    </row>
    <row r="132" spans="1:16">
      <c r="A132" s="10">
        <v>2014</v>
      </c>
      <c r="B132" s="11" t="s">
        <v>489</v>
      </c>
      <c r="C132" s="11" t="s">
        <v>490</v>
      </c>
      <c r="D132" s="12">
        <v>1002052</v>
      </c>
      <c r="E132" s="12">
        <v>2</v>
      </c>
      <c r="F132" s="12"/>
      <c r="G132" s="12">
        <v>950</v>
      </c>
      <c r="H132" s="12">
        <v>15</v>
      </c>
      <c r="I132" s="12"/>
      <c r="J132" s="12" t="s">
        <v>417</v>
      </c>
      <c r="K132" s="12" t="b">
        <v>1</v>
      </c>
      <c r="L132" s="12">
        <v>2</v>
      </c>
      <c r="M132" s="8">
        <v>2016</v>
      </c>
      <c r="N132" s="9">
        <v>0</v>
      </c>
      <c r="O132" s="13">
        <v>41717</v>
      </c>
      <c r="P132" s="13">
        <v>41717</v>
      </c>
    </row>
    <row r="133" spans="1:16">
      <c r="A133" s="10">
        <v>2014</v>
      </c>
      <c r="B133" s="11" t="s">
        <v>489</v>
      </c>
      <c r="C133" s="11" t="s">
        <v>490</v>
      </c>
      <c r="D133" s="12">
        <v>1002052</v>
      </c>
      <c r="E133" s="12">
        <v>2</v>
      </c>
      <c r="F133" s="12"/>
      <c r="G133" s="12">
        <v>890</v>
      </c>
      <c r="H133" s="12">
        <v>14.2</v>
      </c>
      <c r="I133" s="12"/>
      <c r="J133" s="12" t="s">
        <v>128</v>
      </c>
      <c r="K133" s="12" t="b">
        <v>1</v>
      </c>
      <c r="L133" s="12">
        <v>1</v>
      </c>
      <c r="M133" s="8">
        <v>2015</v>
      </c>
      <c r="N133" s="9">
        <v>0</v>
      </c>
      <c r="O133" s="13">
        <v>41717</v>
      </c>
      <c r="P133" s="13">
        <v>41717</v>
      </c>
    </row>
    <row r="134" spans="1:16">
      <c r="A134" s="10">
        <v>2014</v>
      </c>
      <c r="B134" s="11" t="s">
        <v>489</v>
      </c>
      <c r="C134" s="11" t="s">
        <v>490</v>
      </c>
      <c r="D134" s="12">
        <v>1002052</v>
      </c>
      <c r="E134" s="12">
        <v>2</v>
      </c>
      <c r="F134" s="12"/>
      <c r="G134" s="12">
        <v>890</v>
      </c>
      <c r="H134" s="12">
        <v>14.2</v>
      </c>
      <c r="I134" s="12"/>
      <c r="J134" s="12" t="s">
        <v>128</v>
      </c>
      <c r="K134" s="12" t="b">
        <v>1</v>
      </c>
      <c r="L134" s="12">
        <v>3</v>
      </c>
      <c r="M134" s="8">
        <v>2017</v>
      </c>
      <c r="N134" s="9">
        <v>0</v>
      </c>
      <c r="O134" s="13">
        <v>41717</v>
      </c>
      <c r="P134" s="13">
        <v>41717</v>
      </c>
    </row>
    <row r="135" spans="1:16">
      <c r="A135" s="10">
        <v>2014</v>
      </c>
      <c r="B135" s="11" t="s">
        <v>489</v>
      </c>
      <c r="C135" s="11" t="s">
        <v>490</v>
      </c>
      <c r="D135" s="12">
        <v>1002052</v>
      </c>
      <c r="E135" s="12">
        <v>2</v>
      </c>
      <c r="F135" s="12"/>
      <c r="G135" s="12">
        <v>680</v>
      </c>
      <c r="H135" s="12" t="s">
        <v>99</v>
      </c>
      <c r="I135" s="12"/>
      <c r="J135" s="12" t="s">
        <v>100</v>
      </c>
      <c r="K135" s="12" t="b">
        <v>1</v>
      </c>
      <c r="L135" s="12">
        <v>0</v>
      </c>
      <c r="M135" s="8">
        <v>2014</v>
      </c>
      <c r="N135" s="9">
        <v>222217.77</v>
      </c>
      <c r="O135" s="13">
        <v>41717</v>
      </c>
      <c r="P135" s="13">
        <v>41717</v>
      </c>
    </row>
    <row r="136" spans="1:16">
      <c r="A136" s="10">
        <v>2014</v>
      </c>
      <c r="B136" s="11" t="s">
        <v>489</v>
      </c>
      <c r="C136" s="11" t="s">
        <v>490</v>
      </c>
      <c r="D136" s="12">
        <v>1002052</v>
      </c>
      <c r="E136" s="12">
        <v>2</v>
      </c>
      <c r="F136" s="12"/>
      <c r="G136" s="12">
        <v>970</v>
      </c>
      <c r="H136" s="12" t="s">
        <v>420</v>
      </c>
      <c r="I136" s="12"/>
      <c r="J136" s="12" t="s">
        <v>421</v>
      </c>
      <c r="K136" s="12" t="b">
        <v>1</v>
      </c>
      <c r="L136" s="12">
        <v>0</v>
      </c>
      <c r="M136" s="8">
        <v>2014</v>
      </c>
      <c r="N136" s="9">
        <v>0</v>
      </c>
      <c r="O136" s="13">
        <v>41717</v>
      </c>
      <c r="P136" s="13">
        <v>41717</v>
      </c>
    </row>
    <row r="137" spans="1:16">
      <c r="A137" s="10">
        <v>2014</v>
      </c>
      <c r="B137" s="11" t="s">
        <v>489</v>
      </c>
      <c r="C137" s="11" t="s">
        <v>490</v>
      </c>
      <c r="D137" s="12">
        <v>1002052</v>
      </c>
      <c r="E137" s="12">
        <v>2</v>
      </c>
      <c r="F137" s="12"/>
      <c r="G137" s="12">
        <v>470</v>
      </c>
      <c r="H137" s="12">
        <v>9.1</v>
      </c>
      <c r="I137" s="12" t="s">
        <v>385</v>
      </c>
      <c r="J137" s="12" t="s">
        <v>386</v>
      </c>
      <c r="K137" s="12" t="b">
        <v>1</v>
      </c>
      <c r="L137" s="12">
        <v>3</v>
      </c>
      <c r="M137" s="8">
        <v>2017</v>
      </c>
      <c r="N137" s="9">
        <v>0</v>
      </c>
      <c r="O137" s="13">
        <v>41717</v>
      </c>
      <c r="P137" s="13">
        <v>41717</v>
      </c>
    </row>
    <row r="138" spans="1:16">
      <c r="A138" s="10">
        <v>2014</v>
      </c>
      <c r="B138" s="11" t="s">
        <v>489</v>
      </c>
      <c r="C138" s="11" t="s">
        <v>490</v>
      </c>
      <c r="D138" s="12">
        <v>1002052</v>
      </c>
      <c r="E138" s="12">
        <v>2</v>
      </c>
      <c r="F138" s="12"/>
      <c r="G138" s="12">
        <v>980</v>
      </c>
      <c r="H138" s="12">
        <v>15.2</v>
      </c>
      <c r="I138" s="12"/>
      <c r="J138" s="12" t="s">
        <v>423</v>
      </c>
      <c r="K138" s="12" t="b">
        <v>1</v>
      </c>
      <c r="L138" s="12">
        <v>1</v>
      </c>
      <c r="M138" s="8">
        <v>2015</v>
      </c>
      <c r="N138" s="9">
        <v>0</v>
      </c>
      <c r="O138" s="13">
        <v>41717</v>
      </c>
      <c r="P138" s="13">
        <v>41717</v>
      </c>
    </row>
    <row r="139" spans="1:16">
      <c r="A139" s="10">
        <v>2014</v>
      </c>
      <c r="B139" s="11" t="s">
        <v>489</v>
      </c>
      <c r="C139" s="11" t="s">
        <v>490</v>
      </c>
      <c r="D139" s="12">
        <v>1002052</v>
      </c>
      <c r="E139" s="12">
        <v>2</v>
      </c>
      <c r="F139" s="12"/>
      <c r="G139" s="12">
        <v>430</v>
      </c>
      <c r="H139" s="12">
        <v>8.1999999999999993</v>
      </c>
      <c r="I139" s="12" t="s">
        <v>383</v>
      </c>
      <c r="J139" s="12" t="s">
        <v>384</v>
      </c>
      <c r="K139" s="12" t="b">
        <v>0</v>
      </c>
      <c r="L139" s="12">
        <v>2</v>
      </c>
      <c r="M139" s="8">
        <v>2016</v>
      </c>
      <c r="N139" s="9">
        <v>2682000</v>
      </c>
      <c r="O139" s="13">
        <v>41717</v>
      </c>
      <c r="P139" s="13">
        <v>41717</v>
      </c>
    </row>
    <row r="140" spans="1:16">
      <c r="A140" s="10">
        <v>2014</v>
      </c>
      <c r="B140" s="11" t="s">
        <v>489</v>
      </c>
      <c r="C140" s="11" t="s">
        <v>490</v>
      </c>
      <c r="D140" s="12">
        <v>1002052</v>
      </c>
      <c r="E140" s="12">
        <v>2</v>
      </c>
      <c r="F140" s="12"/>
      <c r="G140" s="12">
        <v>570</v>
      </c>
      <c r="H140" s="12">
        <v>11</v>
      </c>
      <c r="I140" s="12"/>
      <c r="J140" s="12" t="s">
        <v>87</v>
      </c>
      <c r="K140" s="12" t="b">
        <v>0</v>
      </c>
      <c r="L140" s="12">
        <v>1</v>
      </c>
      <c r="M140" s="8">
        <v>2015</v>
      </c>
      <c r="N140" s="9">
        <v>0</v>
      </c>
      <c r="O140" s="13">
        <v>41717</v>
      </c>
      <c r="P140" s="13">
        <v>41717</v>
      </c>
    </row>
    <row r="141" spans="1:16">
      <c r="A141" s="10">
        <v>2014</v>
      </c>
      <c r="B141" s="11" t="s">
        <v>489</v>
      </c>
      <c r="C141" s="11" t="s">
        <v>490</v>
      </c>
      <c r="D141" s="12">
        <v>1002052</v>
      </c>
      <c r="E141" s="12">
        <v>2</v>
      </c>
      <c r="F141" s="12"/>
      <c r="G141" s="12">
        <v>765</v>
      </c>
      <c r="H141" s="12">
        <v>12.6</v>
      </c>
      <c r="I141" s="12"/>
      <c r="J141" s="12" t="s">
        <v>408</v>
      </c>
      <c r="K141" s="12" t="b">
        <v>1</v>
      </c>
      <c r="L141" s="12">
        <v>2</v>
      </c>
      <c r="M141" s="8">
        <v>2016</v>
      </c>
      <c r="N141" s="9">
        <v>0</v>
      </c>
      <c r="O141" s="13">
        <v>41717</v>
      </c>
      <c r="P141" s="13">
        <v>41717</v>
      </c>
    </row>
    <row r="142" spans="1:16">
      <c r="A142" s="10">
        <v>2014</v>
      </c>
      <c r="B142" s="11" t="s">
        <v>489</v>
      </c>
      <c r="C142" s="11" t="s">
        <v>490</v>
      </c>
      <c r="D142" s="12">
        <v>1002052</v>
      </c>
      <c r="E142" s="12">
        <v>2</v>
      </c>
      <c r="F142" s="12"/>
      <c r="G142" s="12">
        <v>650</v>
      </c>
      <c r="H142" s="12">
        <v>11.6</v>
      </c>
      <c r="I142" s="12"/>
      <c r="J142" s="12" t="s">
        <v>96</v>
      </c>
      <c r="K142" s="12" t="b">
        <v>1</v>
      </c>
      <c r="L142" s="12">
        <v>0</v>
      </c>
      <c r="M142" s="8">
        <v>2014</v>
      </c>
      <c r="N142" s="9">
        <v>105000</v>
      </c>
      <c r="O142" s="13">
        <v>41717</v>
      </c>
      <c r="P142" s="13">
        <v>41717</v>
      </c>
    </row>
    <row r="143" spans="1:16">
      <c r="A143" s="10">
        <v>2014</v>
      </c>
      <c r="B143" s="11" t="s">
        <v>489</v>
      </c>
      <c r="C143" s="11" t="s">
        <v>490</v>
      </c>
      <c r="D143" s="12">
        <v>1002052</v>
      </c>
      <c r="E143" s="12">
        <v>2</v>
      </c>
      <c r="F143" s="12"/>
      <c r="G143" s="12">
        <v>900</v>
      </c>
      <c r="H143" s="12">
        <v>14.3</v>
      </c>
      <c r="I143" s="12"/>
      <c r="J143" s="12" t="s">
        <v>129</v>
      </c>
      <c r="K143" s="12" t="b">
        <v>1</v>
      </c>
      <c r="L143" s="12">
        <v>0</v>
      </c>
      <c r="M143" s="8">
        <v>2014</v>
      </c>
      <c r="N143" s="9">
        <v>0</v>
      </c>
      <c r="O143" s="13">
        <v>41717</v>
      </c>
      <c r="P143" s="13">
        <v>41717</v>
      </c>
    </row>
    <row r="144" spans="1:16">
      <c r="A144" s="10">
        <v>2014</v>
      </c>
      <c r="B144" s="11" t="s">
        <v>489</v>
      </c>
      <c r="C144" s="11" t="s">
        <v>490</v>
      </c>
      <c r="D144" s="12">
        <v>1002052</v>
      </c>
      <c r="E144" s="12">
        <v>2</v>
      </c>
      <c r="F144" s="12"/>
      <c r="G144" s="12">
        <v>580</v>
      </c>
      <c r="H144" s="12">
        <v>11.1</v>
      </c>
      <c r="I144" s="12"/>
      <c r="J144" s="12" t="s">
        <v>88</v>
      </c>
      <c r="K144" s="12" t="b">
        <v>0</v>
      </c>
      <c r="L144" s="12">
        <v>0</v>
      </c>
      <c r="M144" s="8">
        <v>2014</v>
      </c>
      <c r="N144" s="9">
        <v>4226255</v>
      </c>
      <c r="O144" s="13">
        <v>41717</v>
      </c>
      <c r="P144" s="13">
        <v>41717</v>
      </c>
    </row>
    <row r="145" spans="1:16">
      <c r="A145" s="10">
        <v>2014</v>
      </c>
      <c r="B145" s="11" t="s">
        <v>489</v>
      </c>
      <c r="C145" s="11" t="s">
        <v>490</v>
      </c>
      <c r="D145" s="12">
        <v>1002052</v>
      </c>
      <c r="E145" s="12">
        <v>2</v>
      </c>
      <c r="F145" s="12"/>
      <c r="G145" s="12">
        <v>290</v>
      </c>
      <c r="H145" s="12" t="s">
        <v>75</v>
      </c>
      <c r="I145" s="12"/>
      <c r="J145" s="12" t="s">
        <v>71</v>
      </c>
      <c r="K145" s="12" t="b">
        <v>0</v>
      </c>
      <c r="L145" s="12">
        <v>3</v>
      </c>
      <c r="M145" s="8">
        <v>2017</v>
      </c>
      <c r="N145" s="9">
        <v>0</v>
      </c>
      <c r="O145" s="13">
        <v>41717</v>
      </c>
      <c r="P145" s="13">
        <v>41717</v>
      </c>
    </row>
    <row r="146" spans="1:16">
      <c r="A146" s="10">
        <v>2014</v>
      </c>
      <c r="B146" s="11" t="s">
        <v>489</v>
      </c>
      <c r="C146" s="11" t="s">
        <v>490</v>
      </c>
      <c r="D146" s="12">
        <v>1002052</v>
      </c>
      <c r="E146" s="12">
        <v>2</v>
      </c>
      <c r="F146" s="12"/>
      <c r="G146" s="12">
        <v>960</v>
      </c>
      <c r="H146" s="12">
        <v>15.1</v>
      </c>
      <c r="I146" s="12"/>
      <c r="J146" s="12" t="s">
        <v>419</v>
      </c>
      <c r="K146" s="12" t="b">
        <v>1</v>
      </c>
      <c r="L146" s="12">
        <v>2</v>
      </c>
      <c r="M146" s="8">
        <v>2016</v>
      </c>
      <c r="N146" s="9">
        <v>0</v>
      </c>
      <c r="O146" s="13">
        <v>41717</v>
      </c>
      <c r="P146" s="13">
        <v>41717</v>
      </c>
    </row>
    <row r="147" spans="1:16">
      <c r="A147" s="10">
        <v>2014</v>
      </c>
      <c r="B147" s="11" t="s">
        <v>489</v>
      </c>
      <c r="C147" s="11" t="s">
        <v>490</v>
      </c>
      <c r="D147" s="12">
        <v>1002052</v>
      </c>
      <c r="E147" s="12">
        <v>2</v>
      </c>
      <c r="F147" s="12"/>
      <c r="G147" s="12">
        <v>490</v>
      </c>
      <c r="H147" s="12">
        <v>9.3000000000000007</v>
      </c>
      <c r="I147" s="12"/>
      <c r="J147" s="12" t="s">
        <v>389</v>
      </c>
      <c r="K147" s="12" t="b">
        <v>1</v>
      </c>
      <c r="L147" s="12">
        <v>0</v>
      </c>
      <c r="M147" s="8">
        <v>2014</v>
      </c>
      <c r="N147" s="9">
        <v>0</v>
      </c>
      <c r="O147" s="13">
        <v>41717</v>
      </c>
      <c r="P147" s="13">
        <v>41717</v>
      </c>
    </row>
    <row r="148" spans="1:16">
      <c r="A148" s="10">
        <v>2014</v>
      </c>
      <c r="B148" s="11" t="s">
        <v>489</v>
      </c>
      <c r="C148" s="11" t="s">
        <v>490</v>
      </c>
      <c r="D148" s="12">
        <v>1002052</v>
      </c>
      <c r="E148" s="12">
        <v>2</v>
      </c>
      <c r="F148" s="12"/>
      <c r="G148" s="12">
        <v>570</v>
      </c>
      <c r="H148" s="12">
        <v>11</v>
      </c>
      <c r="I148" s="12"/>
      <c r="J148" s="12" t="s">
        <v>87</v>
      </c>
      <c r="K148" s="12" t="b">
        <v>0</v>
      </c>
      <c r="L148" s="12">
        <v>3</v>
      </c>
      <c r="M148" s="8">
        <v>2017</v>
      </c>
      <c r="N148" s="9">
        <v>0</v>
      </c>
      <c r="O148" s="13">
        <v>41717</v>
      </c>
      <c r="P148" s="13">
        <v>41717</v>
      </c>
    </row>
    <row r="149" spans="1:16">
      <c r="A149" s="10">
        <v>2014</v>
      </c>
      <c r="B149" s="11" t="s">
        <v>489</v>
      </c>
      <c r="C149" s="11" t="s">
        <v>490</v>
      </c>
      <c r="D149" s="12">
        <v>1002052</v>
      </c>
      <c r="E149" s="12">
        <v>2</v>
      </c>
      <c r="F149" s="12"/>
      <c r="G149" s="12">
        <v>320</v>
      </c>
      <c r="H149" s="12" t="s">
        <v>78</v>
      </c>
      <c r="I149" s="12" t="s">
        <v>375</v>
      </c>
      <c r="J149" s="12" t="s">
        <v>376</v>
      </c>
      <c r="K149" s="12" t="b">
        <v>1</v>
      </c>
      <c r="L149" s="12">
        <v>2</v>
      </c>
      <c r="M149" s="8">
        <v>2016</v>
      </c>
      <c r="N149" s="9">
        <v>0</v>
      </c>
      <c r="O149" s="13">
        <v>41717</v>
      </c>
      <c r="P149" s="13">
        <v>41717</v>
      </c>
    </row>
    <row r="150" spans="1:16">
      <c r="A150" s="10">
        <v>2014</v>
      </c>
      <c r="B150" s="11" t="s">
        <v>489</v>
      </c>
      <c r="C150" s="11" t="s">
        <v>490</v>
      </c>
      <c r="D150" s="12">
        <v>1002052</v>
      </c>
      <c r="E150" s="12">
        <v>2</v>
      </c>
      <c r="F150" s="12"/>
      <c r="G150" s="12">
        <v>336</v>
      </c>
      <c r="H150" s="12" t="s">
        <v>380</v>
      </c>
      <c r="I150" s="12"/>
      <c r="J150" s="12" t="s">
        <v>381</v>
      </c>
      <c r="K150" s="12" t="b">
        <v>1</v>
      </c>
      <c r="L150" s="12">
        <v>0</v>
      </c>
      <c r="M150" s="8">
        <v>2014</v>
      </c>
      <c r="N150" s="9">
        <v>0</v>
      </c>
      <c r="O150" s="13">
        <v>41717</v>
      </c>
      <c r="P150" s="13">
        <v>41717</v>
      </c>
    </row>
    <row r="151" spans="1:16">
      <c r="A151" s="10">
        <v>2014</v>
      </c>
      <c r="B151" s="11" t="s">
        <v>489</v>
      </c>
      <c r="C151" s="11" t="s">
        <v>490</v>
      </c>
      <c r="D151" s="12">
        <v>1002052</v>
      </c>
      <c r="E151" s="12">
        <v>2</v>
      </c>
      <c r="F151" s="12"/>
      <c r="G151" s="12">
        <v>980</v>
      </c>
      <c r="H151" s="12">
        <v>15.2</v>
      </c>
      <c r="I151" s="12"/>
      <c r="J151" s="12" t="s">
        <v>423</v>
      </c>
      <c r="K151" s="12" t="b">
        <v>1</v>
      </c>
      <c r="L151" s="12">
        <v>0</v>
      </c>
      <c r="M151" s="8">
        <v>2014</v>
      </c>
      <c r="N151" s="9">
        <v>0</v>
      </c>
      <c r="O151" s="13">
        <v>41717</v>
      </c>
      <c r="P151" s="13">
        <v>41717</v>
      </c>
    </row>
    <row r="152" spans="1:16">
      <c r="A152" s="10">
        <v>2014</v>
      </c>
      <c r="B152" s="11" t="s">
        <v>489</v>
      </c>
      <c r="C152" s="11" t="s">
        <v>490</v>
      </c>
      <c r="D152" s="12">
        <v>1002052</v>
      </c>
      <c r="E152" s="12">
        <v>2</v>
      </c>
      <c r="F152" s="12"/>
      <c r="G152" s="12">
        <v>110</v>
      </c>
      <c r="H152" s="12" t="s">
        <v>56</v>
      </c>
      <c r="I152" s="12"/>
      <c r="J152" s="12" t="s">
        <v>57</v>
      </c>
      <c r="K152" s="12" t="b">
        <v>1</v>
      </c>
      <c r="L152" s="12">
        <v>1</v>
      </c>
      <c r="M152" s="8">
        <v>2015</v>
      </c>
      <c r="N152" s="9">
        <v>0</v>
      </c>
      <c r="O152" s="13">
        <v>41717</v>
      </c>
      <c r="P152" s="13">
        <v>41717</v>
      </c>
    </row>
    <row r="153" spans="1:16">
      <c r="A153" s="10">
        <v>2014</v>
      </c>
      <c r="B153" s="11" t="s">
        <v>489</v>
      </c>
      <c r="C153" s="11" t="s">
        <v>490</v>
      </c>
      <c r="D153" s="12">
        <v>1002052</v>
      </c>
      <c r="E153" s="12">
        <v>2</v>
      </c>
      <c r="F153" s="12"/>
      <c r="G153" s="12">
        <v>430</v>
      </c>
      <c r="H153" s="12">
        <v>8.1999999999999993</v>
      </c>
      <c r="I153" s="12" t="s">
        <v>383</v>
      </c>
      <c r="J153" s="12" t="s">
        <v>384</v>
      </c>
      <c r="K153" s="12" t="b">
        <v>0</v>
      </c>
      <c r="L153" s="12">
        <v>0</v>
      </c>
      <c r="M153" s="8">
        <v>2014</v>
      </c>
      <c r="N153" s="9">
        <v>3133552.19</v>
      </c>
      <c r="O153" s="13">
        <v>41717</v>
      </c>
      <c r="P153" s="13">
        <v>41717</v>
      </c>
    </row>
    <row r="154" spans="1:16">
      <c r="A154" s="10">
        <v>2014</v>
      </c>
      <c r="B154" s="11" t="s">
        <v>489</v>
      </c>
      <c r="C154" s="11" t="s">
        <v>490</v>
      </c>
      <c r="D154" s="12">
        <v>1002052</v>
      </c>
      <c r="E154" s="12">
        <v>2</v>
      </c>
      <c r="F154" s="12"/>
      <c r="G154" s="12">
        <v>770</v>
      </c>
      <c r="H154" s="12" t="s">
        <v>415</v>
      </c>
      <c r="I154" s="12"/>
      <c r="J154" s="12" t="s">
        <v>406</v>
      </c>
      <c r="K154" s="12" t="b">
        <v>1</v>
      </c>
      <c r="L154" s="12">
        <v>1</v>
      </c>
      <c r="M154" s="8">
        <v>2015</v>
      </c>
      <c r="N154" s="9">
        <v>0</v>
      </c>
      <c r="O154" s="13">
        <v>41717</v>
      </c>
      <c r="P154" s="13">
        <v>41717</v>
      </c>
    </row>
    <row r="155" spans="1:16">
      <c r="A155" s="10">
        <v>2014</v>
      </c>
      <c r="B155" s="11" t="s">
        <v>489</v>
      </c>
      <c r="C155" s="11" t="s">
        <v>490</v>
      </c>
      <c r="D155" s="12">
        <v>1002052</v>
      </c>
      <c r="E155" s="12">
        <v>2</v>
      </c>
      <c r="F155" s="12"/>
      <c r="G155" s="12">
        <v>860</v>
      </c>
      <c r="H155" s="12">
        <v>13.7</v>
      </c>
      <c r="I155" s="12"/>
      <c r="J155" s="12" t="s">
        <v>125</v>
      </c>
      <c r="K155" s="12" t="b">
        <v>1</v>
      </c>
      <c r="L155" s="12">
        <v>3</v>
      </c>
      <c r="M155" s="8">
        <v>2017</v>
      </c>
      <c r="N155" s="9">
        <v>0</v>
      </c>
      <c r="O155" s="13">
        <v>41717</v>
      </c>
      <c r="P155" s="13">
        <v>41717</v>
      </c>
    </row>
    <row r="156" spans="1:16">
      <c r="A156" s="10">
        <v>2014</v>
      </c>
      <c r="B156" s="11" t="s">
        <v>489</v>
      </c>
      <c r="C156" s="11" t="s">
        <v>490</v>
      </c>
      <c r="D156" s="12">
        <v>1002052</v>
      </c>
      <c r="E156" s="12">
        <v>2</v>
      </c>
      <c r="F156" s="12"/>
      <c r="G156" s="12">
        <v>680</v>
      </c>
      <c r="H156" s="12" t="s">
        <v>99</v>
      </c>
      <c r="I156" s="12"/>
      <c r="J156" s="12" t="s">
        <v>100</v>
      </c>
      <c r="K156" s="12" t="b">
        <v>1</v>
      </c>
      <c r="L156" s="12">
        <v>1</v>
      </c>
      <c r="M156" s="8">
        <v>2015</v>
      </c>
      <c r="N156" s="9">
        <v>0</v>
      </c>
      <c r="O156" s="13">
        <v>41717</v>
      </c>
      <c r="P156" s="13">
        <v>41717</v>
      </c>
    </row>
    <row r="157" spans="1:16">
      <c r="A157" s="10">
        <v>2014</v>
      </c>
      <c r="B157" s="11" t="s">
        <v>489</v>
      </c>
      <c r="C157" s="11" t="s">
        <v>490</v>
      </c>
      <c r="D157" s="12">
        <v>1002052</v>
      </c>
      <c r="E157" s="12">
        <v>2</v>
      </c>
      <c r="F157" s="12"/>
      <c r="G157" s="12">
        <v>270</v>
      </c>
      <c r="H157" s="12" t="s">
        <v>73</v>
      </c>
      <c r="I157" s="12"/>
      <c r="J157" s="12" t="s">
        <v>71</v>
      </c>
      <c r="K157" s="12" t="b">
        <v>1</v>
      </c>
      <c r="L157" s="12">
        <v>2</v>
      </c>
      <c r="M157" s="8">
        <v>2016</v>
      </c>
      <c r="N157" s="9">
        <v>0</v>
      </c>
      <c r="O157" s="13">
        <v>41717</v>
      </c>
      <c r="P157" s="13">
        <v>41717</v>
      </c>
    </row>
    <row r="158" spans="1:16">
      <c r="A158" s="10">
        <v>2014</v>
      </c>
      <c r="B158" s="11" t="s">
        <v>489</v>
      </c>
      <c r="C158" s="11" t="s">
        <v>490</v>
      </c>
      <c r="D158" s="12">
        <v>1002052</v>
      </c>
      <c r="E158" s="12">
        <v>2</v>
      </c>
      <c r="F158" s="12"/>
      <c r="G158" s="12">
        <v>769</v>
      </c>
      <c r="H158" s="12">
        <v>12.8</v>
      </c>
      <c r="I158" s="12"/>
      <c r="J158" s="12" t="s">
        <v>414</v>
      </c>
      <c r="K158" s="12" t="b">
        <v>1</v>
      </c>
      <c r="L158" s="12">
        <v>2</v>
      </c>
      <c r="M158" s="8">
        <v>2016</v>
      </c>
      <c r="N158" s="9">
        <v>0</v>
      </c>
      <c r="O158" s="13">
        <v>41717</v>
      </c>
      <c r="P158" s="13">
        <v>41717</v>
      </c>
    </row>
    <row r="159" spans="1:16">
      <c r="A159" s="10">
        <v>2014</v>
      </c>
      <c r="B159" s="11" t="s">
        <v>489</v>
      </c>
      <c r="C159" s="11" t="s">
        <v>490</v>
      </c>
      <c r="D159" s="12">
        <v>1002052</v>
      </c>
      <c r="E159" s="12">
        <v>2</v>
      </c>
      <c r="F159" s="12"/>
      <c r="G159" s="12">
        <v>910</v>
      </c>
      <c r="H159" s="12" t="s">
        <v>130</v>
      </c>
      <c r="I159" s="12"/>
      <c r="J159" s="12" t="s">
        <v>131</v>
      </c>
      <c r="K159" s="12" t="b">
        <v>1</v>
      </c>
      <c r="L159" s="12">
        <v>1</v>
      </c>
      <c r="M159" s="8">
        <v>2015</v>
      </c>
      <c r="N159" s="9">
        <v>0</v>
      </c>
      <c r="O159" s="13">
        <v>41717</v>
      </c>
      <c r="P159" s="13">
        <v>41717</v>
      </c>
    </row>
    <row r="160" spans="1:16">
      <c r="A160" s="10">
        <v>2014</v>
      </c>
      <c r="B160" s="11" t="s">
        <v>489</v>
      </c>
      <c r="C160" s="11" t="s">
        <v>490</v>
      </c>
      <c r="D160" s="12">
        <v>1002052</v>
      </c>
      <c r="E160" s="12">
        <v>2</v>
      </c>
      <c r="F160" s="12"/>
      <c r="G160" s="12">
        <v>530</v>
      </c>
      <c r="H160" s="12">
        <v>9.6999999999999993</v>
      </c>
      <c r="I160" s="12" t="s">
        <v>397</v>
      </c>
      <c r="J160" s="12" t="s">
        <v>398</v>
      </c>
      <c r="K160" s="12" t="b">
        <v>0</v>
      </c>
      <c r="L160" s="12">
        <v>0</v>
      </c>
      <c r="M160" s="8">
        <v>2014</v>
      </c>
      <c r="N160" s="9">
        <v>1325</v>
      </c>
      <c r="O160" s="13">
        <v>41717</v>
      </c>
      <c r="P160" s="13">
        <v>41717</v>
      </c>
    </row>
    <row r="161" spans="1:16">
      <c r="A161" s="10">
        <v>2014</v>
      </c>
      <c r="B161" s="11" t="s">
        <v>489</v>
      </c>
      <c r="C161" s="11" t="s">
        <v>490</v>
      </c>
      <c r="D161" s="12">
        <v>1002052</v>
      </c>
      <c r="E161" s="12">
        <v>2</v>
      </c>
      <c r="F161" s="12"/>
      <c r="G161" s="12">
        <v>170</v>
      </c>
      <c r="H161" s="12" t="s">
        <v>63</v>
      </c>
      <c r="I161" s="12"/>
      <c r="J161" s="12" t="s">
        <v>366</v>
      </c>
      <c r="K161" s="12" t="b">
        <v>1</v>
      </c>
      <c r="L161" s="12">
        <v>2</v>
      </c>
      <c r="M161" s="8">
        <v>2016</v>
      </c>
      <c r="N161" s="9">
        <v>0</v>
      </c>
      <c r="O161" s="13">
        <v>41717</v>
      </c>
      <c r="P161" s="13">
        <v>41717</v>
      </c>
    </row>
    <row r="162" spans="1:16">
      <c r="A162" s="10">
        <v>2014</v>
      </c>
      <c r="B162" s="11" t="s">
        <v>489</v>
      </c>
      <c r="C162" s="11" t="s">
        <v>490</v>
      </c>
      <c r="D162" s="12">
        <v>1002052</v>
      </c>
      <c r="E162" s="12">
        <v>2</v>
      </c>
      <c r="F162" s="12"/>
      <c r="G162" s="12">
        <v>520</v>
      </c>
      <c r="H162" s="12" t="s">
        <v>83</v>
      </c>
      <c r="I162" s="12"/>
      <c r="J162" s="12" t="s">
        <v>396</v>
      </c>
      <c r="K162" s="12" t="b">
        <v>1</v>
      </c>
      <c r="L162" s="12">
        <v>2</v>
      </c>
      <c r="M162" s="8">
        <v>2016</v>
      </c>
      <c r="N162" s="9">
        <v>0.18049999999999999</v>
      </c>
      <c r="O162" s="13">
        <v>41717</v>
      </c>
      <c r="P162" s="13">
        <v>41717</v>
      </c>
    </row>
    <row r="163" spans="1:16">
      <c r="A163" s="10">
        <v>2014</v>
      </c>
      <c r="B163" s="11" t="s">
        <v>489</v>
      </c>
      <c r="C163" s="11" t="s">
        <v>490</v>
      </c>
      <c r="D163" s="12">
        <v>1002052</v>
      </c>
      <c r="E163" s="12">
        <v>2</v>
      </c>
      <c r="F163" s="12"/>
      <c r="G163" s="12">
        <v>130</v>
      </c>
      <c r="H163" s="12">
        <v>2.1</v>
      </c>
      <c r="I163" s="12"/>
      <c r="J163" s="12" t="s">
        <v>58</v>
      </c>
      <c r="K163" s="12" t="b">
        <v>1</v>
      </c>
      <c r="L163" s="12">
        <v>0</v>
      </c>
      <c r="M163" s="8">
        <v>2014</v>
      </c>
      <c r="N163" s="9">
        <v>9344048.4800000004</v>
      </c>
      <c r="O163" s="13">
        <v>41717</v>
      </c>
      <c r="P163" s="13">
        <v>41717</v>
      </c>
    </row>
    <row r="164" spans="1:16">
      <c r="A164" s="10">
        <v>2014</v>
      </c>
      <c r="B164" s="11" t="s">
        <v>489</v>
      </c>
      <c r="C164" s="11" t="s">
        <v>490</v>
      </c>
      <c r="D164" s="12">
        <v>1002052</v>
      </c>
      <c r="E164" s="12">
        <v>2</v>
      </c>
      <c r="F164" s="12"/>
      <c r="G164" s="12">
        <v>120</v>
      </c>
      <c r="H164" s="12">
        <v>2</v>
      </c>
      <c r="I164" s="12" t="s">
        <v>491</v>
      </c>
      <c r="J164" s="12" t="s">
        <v>19</v>
      </c>
      <c r="K164" s="12" t="b">
        <v>0</v>
      </c>
      <c r="L164" s="12">
        <v>3</v>
      </c>
      <c r="M164" s="8">
        <v>2017</v>
      </c>
      <c r="N164" s="9">
        <v>12170000</v>
      </c>
      <c r="O164" s="13">
        <v>41717</v>
      </c>
      <c r="P164" s="13">
        <v>41717</v>
      </c>
    </row>
    <row r="165" spans="1:16">
      <c r="A165" s="10">
        <v>2014</v>
      </c>
      <c r="B165" s="11" t="s">
        <v>489</v>
      </c>
      <c r="C165" s="11" t="s">
        <v>490</v>
      </c>
      <c r="D165" s="12">
        <v>1002052</v>
      </c>
      <c r="E165" s="12">
        <v>2</v>
      </c>
      <c r="F165" s="12"/>
      <c r="G165" s="12">
        <v>710</v>
      </c>
      <c r="H165" s="12" t="s">
        <v>104</v>
      </c>
      <c r="I165" s="12"/>
      <c r="J165" s="12" t="s">
        <v>105</v>
      </c>
      <c r="K165" s="12" t="b">
        <v>0</v>
      </c>
      <c r="L165" s="12">
        <v>2</v>
      </c>
      <c r="M165" s="8">
        <v>2016</v>
      </c>
      <c r="N165" s="9">
        <v>0</v>
      </c>
      <c r="O165" s="13">
        <v>41717</v>
      </c>
      <c r="P165" s="13">
        <v>41717</v>
      </c>
    </row>
    <row r="166" spans="1:16">
      <c r="A166" s="10">
        <v>2014</v>
      </c>
      <c r="B166" s="11" t="s">
        <v>489</v>
      </c>
      <c r="C166" s="11" t="s">
        <v>490</v>
      </c>
      <c r="D166" s="12">
        <v>1002052</v>
      </c>
      <c r="E166" s="12">
        <v>2</v>
      </c>
      <c r="F166" s="12"/>
      <c r="G166" s="12">
        <v>320</v>
      </c>
      <c r="H166" s="12" t="s">
        <v>78</v>
      </c>
      <c r="I166" s="12" t="s">
        <v>375</v>
      </c>
      <c r="J166" s="12" t="s">
        <v>376</v>
      </c>
      <c r="K166" s="12" t="b">
        <v>1</v>
      </c>
      <c r="L166" s="12">
        <v>1</v>
      </c>
      <c r="M166" s="8">
        <v>2015</v>
      </c>
      <c r="N166" s="9">
        <v>0</v>
      </c>
      <c r="O166" s="13">
        <v>41717</v>
      </c>
      <c r="P166" s="13">
        <v>41717</v>
      </c>
    </row>
    <row r="167" spans="1:16">
      <c r="A167" s="10">
        <v>2014</v>
      </c>
      <c r="B167" s="11" t="s">
        <v>489</v>
      </c>
      <c r="C167" s="11" t="s">
        <v>490</v>
      </c>
      <c r="D167" s="12">
        <v>1002052</v>
      </c>
      <c r="E167" s="12">
        <v>2</v>
      </c>
      <c r="F167" s="12"/>
      <c r="G167" s="12">
        <v>230</v>
      </c>
      <c r="H167" s="12" t="s">
        <v>67</v>
      </c>
      <c r="I167" s="12"/>
      <c r="J167" s="12" t="s">
        <v>68</v>
      </c>
      <c r="K167" s="12" t="b">
        <v>0</v>
      </c>
      <c r="L167" s="12">
        <v>0</v>
      </c>
      <c r="M167" s="8">
        <v>2014</v>
      </c>
      <c r="N167" s="9">
        <v>0</v>
      </c>
      <c r="O167" s="13">
        <v>41717</v>
      </c>
      <c r="P167" s="13">
        <v>41717</v>
      </c>
    </row>
    <row r="168" spans="1:16">
      <c r="A168" s="10">
        <v>2014</v>
      </c>
      <c r="B168" s="11" t="s">
        <v>489</v>
      </c>
      <c r="C168" s="11" t="s">
        <v>490</v>
      </c>
      <c r="D168" s="12">
        <v>1002052</v>
      </c>
      <c r="E168" s="12">
        <v>2</v>
      </c>
      <c r="F168" s="12"/>
      <c r="G168" s="12">
        <v>260</v>
      </c>
      <c r="H168" s="12">
        <v>4.3</v>
      </c>
      <c r="I168" s="12"/>
      <c r="J168" s="12" t="s">
        <v>72</v>
      </c>
      <c r="K168" s="12" t="b">
        <v>1</v>
      </c>
      <c r="L168" s="12">
        <v>0</v>
      </c>
      <c r="M168" s="8">
        <v>2014</v>
      </c>
      <c r="N168" s="9">
        <v>0</v>
      </c>
      <c r="O168" s="13">
        <v>41717</v>
      </c>
      <c r="P168" s="13">
        <v>41717</v>
      </c>
    </row>
    <row r="169" spans="1:16">
      <c r="A169" s="10">
        <v>2014</v>
      </c>
      <c r="B169" s="11" t="s">
        <v>489</v>
      </c>
      <c r="C169" s="11" t="s">
        <v>490</v>
      </c>
      <c r="D169" s="12">
        <v>1002052</v>
      </c>
      <c r="E169" s="12">
        <v>2</v>
      </c>
      <c r="F169" s="12"/>
      <c r="G169" s="12">
        <v>270</v>
      </c>
      <c r="H169" s="12" t="s">
        <v>73</v>
      </c>
      <c r="I169" s="12"/>
      <c r="J169" s="12" t="s">
        <v>71</v>
      </c>
      <c r="K169" s="12" t="b">
        <v>1</v>
      </c>
      <c r="L169" s="12">
        <v>0</v>
      </c>
      <c r="M169" s="8">
        <v>2014</v>
      </c>
      <c r="N169" s="9">
        <v>0</v>
      </c>
      <c r="O169" s="13">
        <v>41717</v>
      </c>
      <c r="P169" s="13">
        <v>41717</v>
      </c>
    </row>
    <row r="170" spans="1:16">
      <c r="A170" s="10">
        <v>2014</v>
      </c>
      <c r="B170" s="11" t="s">
        <v>489</v>
      </c>
      <c r="C170" s="11" t="s">
        <v>490</v>
      </c>
      <c r="D170" s="12">
        <v>1002052</v>
      </c>
      <c r="E170" s="12">
        <v>2</v>
      </c>
      <c r="F170" s="12"/>
      <c r="G170" s="12">
        <v>630</v>
      </c>
      <c r="H170" s="12">
        <v>11.4</v>
      </c>
      <c r="I170" s="12"/>
      <c r="J170" s="12" t="s">
        <v>94</v>
      </c>
      <c r="K170" s="12" t="b">
        <v>1</v>
      </c>
      <c r="L170" s="12">
        <v>3</v>
      </c>
      <c r="M170" s="8">
        <v>2017</v>
      </c>
      <c r="N170" s="9">
        <v>0</v>
      </c>
      <c r="O170" s="13">
        <v>41717</v>
      </c>
      <c r="P170" s="13">
        <v>41717</v>
      </c>
    </row>
    <row r="171" spans="1:16">
      <c r="A171" s="10">
        <v>2014</v>
      </c>
      <c r="B171" s="11" t="s">
        <v>489</v>
      </c>
      <c r="C171" s="11" t="s">
        <v>490</v>
      </c>
      <c r="D171" s="12">
        <v>1002052</v>
      </c>
      <c r="E171" s="12">
        <v>2</v>
      </c>
      <c r="F171" s="12"/>
      <c r="G171" s="12">
        <v>210</v>
      </c>
      <c r="H171" s="12">
        <v>4</v>
      </c>
      <c r="I171" s="12" t="s">
        <v>373</v>
      </c>
      <c r="J171" s="12" t="s">
        <v>22</v>
      </c>
      <c r="K171" s="12" t="b">
        <v>0</v>
      </c>
      <c r="L171" s="12">
        <v>0</v>
      </c>
      <c r="M171" s="8">
        <v>2014</v>
      </c>
      <c r="N171" s="9">
        <v>769331</v>
      </c>
      <c r="O171" s="13">
        <v>41717</v>
      </c>
      <c r="P171" s="13">
        <v>41717</v>
      </c>
    </row>
    <row r="172" spans="1:16">
      <c r="A172" s="10">
        <v>2014</v>
      </c>
      <c r="B172" s="11" t="s">
        <v>489</v>
      </c>
      <c r="C172" s="11" t="s">
        <v>490</v>
      </c>
      <c r="D172" s="12">
        <v>1002052</v>
      </c>
      <c r="E172" s="12">
        <v>2</v>
      </c>
      <c r="F172" s="12"/>
      <c r="G172" s="12">
        <v>930</v>
      </c>
      <c r="H172" s="12" t="s">
        <v>133</v>
      </c>
      <c r="I172" s="12"/>
      <c r="J172" s="12" t="s">
        <v>134</v>
      </c>
      <c r="K172" s="12" t="b">
        <v>1</v>
      </c>
      <c r="L172" s="12">
        <v>2</v>
      </c>
      <c r="M172" s="8">
        <v>2016</v>
      </c>
      <c r="N172" s="9">
        <v>0</v>
      </c>
      <c r="O172" s="13">
        <v>41717</v>
      </c>
      <c r="P172" s="13">
        <v>41717</v>
      </c>
    </row>
    <row r="173" spans="1:16">
      <c r="A173" s="10">
        <v>2014</v>
      </c>
      <c r="B173" s="11" t="s">
        <v>489</v>
      </c>
      <c r="C173" s="11" t="s">
        <v>490</v>
      </c>
      <c r="D173" s="12">
        <v>1002052</v>
      </c>
      <c r="E173" s="12">
        <v>2</v>
      </c>
      <c r="F173" s="12"/>
      <c r="G173" s="12">
        <v>50</v>
      </c>
      <c r="H173" s="12" t="s">
        <v>45</v>
      </c>
      <c r="I173" s="12"/>
      <c r="J173" s="12" t="s">
        <v>46</v>
      </c>
      <c r="K173" s="12" t="b">
        <v>1</v>
      </c>
      <c r="L173" s="12">
        <v>0</v>
      </c>
      <c r="M173" s="8">
        <v>2014</v>
      </c>
      <c r="N173" s="9">
        <v>3982101</v>
      </c>
      <c r="O173" s="13">
        <v>41717</v>
      </c>
      <c r="P173" s="13">
        <v>41717</v>
      </c>
    </row>
    <row r="174" spans="1:16">
      <c r="A174" s="10">
        <v>2014</v>
      </c>
      <c r="B174" s="11" t="s">
        <v>489</v>
      </c>
      <c r="C174" s="11" t="s">
        <v>490</v>
      </c>
      <c r="D174" s="12">
        <v>1002052</v>
      </c>
      <c r="E174" s="12">
        <v>2</v>
      </c>
      <c r="F174" s="12"/>
      <c r="G174" s="12">
        <v>470</v>
      </c>
      <c r="H174" s="12">
        <v>9.1</v>
      </c>
      <c r="I174" s="12" t="s">
        <v>385</v>
      </c>
      <c r="J174" s="12" t="s">
        <v>386</v>
      </c>
      <c r="K174" s="12" t="b">
        <v>1</v>
      </c>
      <c r="L174" s="12">
        <v>2</v>
      </c>
      <c r="M174" s="8">
        <v>2016</v>
      </c>
      <c r="N174" s="9">
        <v>0</v>
      </c>
      <c r="O174" s="13">
        <v>41717</v>
      </c>
      <c r="P174" s="13">
        <v>41717</v>
      </c>
    </row>
    <row r="175" spans="1:16">
      <c r="A175" s="10">
        <v>2014</v>
      </c>
      <c r="B175" s="11" t="s">
        <v>489</v>
      </c>
      <c r="C175" s="11" t="s">
        <v>490</v>
      </c>
      <c r="D175" s="12">
        <v>1002052</v>
      </c>
      <c r="E175" s="12">
        <v>2</v>
      </c>
      <c r="F175" s="12"/>
      <c r="G175" s="12">
        <v>850</v>
      </c>
      <c r="H175" s="12">
        <v>13.6</v>
      </c>
      <c r="I175" s="12"/>
      <c r="J175" s="12" t="s">
        <v>124</v>
      </c>
      <c r="K175" s="12" t="b">
        <v>1</v>
      </c>
      <c r="L175" s="12">
        <v>3</v>
      </c>
      <c r="M175" s="8">
        <v>2017</v>
      </c>
      <c r="N175" s="9">
        <v>0</v>
      </c>
      <c r="O175" s="13">
        <v>41717</v>
      </c>
      <c r="P175" s="13">
        <v>41717</v>
      </c>
    </row>
    <row r="176" spans="1:16">
      <c r="A176" s="10">
        <v>2014</v>
      </c>
      <c r="B176" s="11" t="s">
        <v>489</v>
      </c>
      <c r="C176" s="11" t="s">
        <v>490</v>
      </c>
      <c r="D176" s="12">
        <v>1002052</v>
      </c>
      <c r="E176" s="12">
        <v>2</v>
      </c>
      <c r="F176" s="12"/>
      <c r="G176" s="12">
        <v>770</v>
      </c>
      <c r="H176" s="12" t="s">
        <v>415</v>
      </c>
      <c r="I176" s="12"/>
      <c r="J176" s="12" t="s">
        <v>406</v>
      </c>
      <c r="K176" s="12" t="b">
        <v>1</v>
      </c>
      <c r="L176" s="12">
        <v>0</v>
      </c>
      <c r="M176" s="8">
        <v>2014</v>
      </c>
      <c r="N176" s="9">
        <v>0</v>
      </c>
      <c r="O176" s="13">
        <v>41717</v>
      </c>
      <c r="P176" s="13">
        <v>41717</v>
      </c>
    </row>
    <row r="177" spans="1:16">
      <c r="A177" s="10">
        <v>2014</v>
      </c>
      <c r="B177" s="11" t="s">
        <v>489</v>
      </c>
      <c r="C177" s="11" t="s">
        <v>490</v>
      </c>
      <c r="D177" s="12">
        <v>1002052</v>
      </c>
      <c r="E177" s="12">
        <v>2</v>
      </c>
      <c r="F177" s="12"/>
      <c r="G177" s="12">
        <v>630</v>
      </c>
      <c r="H177" s="12">
        <v>11.4</v>
      </c>
      <c r="I177" s="12"/>
      <c r="J177" s="12" t="s">
        <v>94</v>
      </c>
      <c r="K177" s="12" t="b">
        <v>1</v>
      </c>
      <c r="L177" s="12">
        <v>2</v>
      </c>
      <c r="M177" s="8">
        <v>2016</v>
      </c>
      <c r="N177" s="9">
        <v>0</v>
      </c>
      <c r="O177" s="13">
        <v>41717</v>
      </c>
      <c r="P177" s="13">
        <v>41717</v>
      </c>
    </row>
    <row r="178" spans="1:16">
      <c r="A178" s="10">
        <v>2014</v>
      </c>
      <c r="B178" s="11" t="s">
        <v>489</v>
      </c>
      <c r="C178" s="11" t="s">
        <v>490</v>
      </c>
      <c r="D178" s="12">
        <v>1002052</v>
      </c>
      <c r="E178" s="12">
        <v>2</v>
      </c>
      <c r="F178" s="12"/>
      <c r="G178" s="12">
        <v>260</v>
      </c>
      <c r="H178" s="12">
        <v>4.3</v>
      </c>
      <c r="I178" s="12"/>
      <c r="J178" s="12" t="s">
        <v>72</v>
      </c>
      <c r="K178" s="12" t="b">
        <v>1</v>
      </c>
      <c r="L178" s="12">
        <v>1</v>
      </c>
      <c r="M178" s="8">
        <v>2015</v>
      </c>
      <c r="N178" s="9">
        <v>0</v>
      </c>
      <c r="O178" s="13">
        <v>41717</v>
      </c>
      <c r="P178" s="13">
        <v>41717</v>
      </c>
    </row>
    <row r="179" spans="1:16">
      <c r="A179" s="10">
        <v>2014</v>
      </c>
      <c r="B179" s="11" t="s">
        <v>489</v>
      </c>
      <c r="C179" s="11" t="s">
        <v>490</v>
      </c>
      <c r="D179" s="12">
        <v>1002052</v>
      </c>
      <c r="E179" s="12">
        <v>2</v>
      </c>
      <c r="F179" s="12"/>
      <c r="G179" s="12">
        <v>260</v>
      </c>
      <c r="H179" s="12">
        <v>4.3</v>
      </c>
      <c r="I179" s="12"/>
      <c r="J179" s="12" t="s">
        <v>72</v>
      </c>
      <c r="K179" s="12" t="b">
        <v>1</v>
      </c>
      <c r="L179" s="12">
        <v>3</v>
      </c>
      <c r="M179" s="8">
        <v>2017</v>
      </c>
      <c r="N179" s="9">
        <v>0</v>
      </c>
      <c r="O179" s="13">
        <v>41717</v>
      </c>
      <c r="P179" s="13">
        <v>41717</v>
      </c>
    </row>
    <row r="180" spans="1:16">
      <c r="A180" s="10">
        <v>2014</v>
      </c>
      <c r="B180" s="11" t="s">
        <v>489</v>
      </c>
      <c r="C180" s="11" t="s">
        <v>490</v>
      </c>
      <c r="D180" s="12">
        <v>1002052</v>
      </c>
      <c r="E180" s="12">
        <v>2</v>
      </c>
      <c r="F180" s="12"/>
      <c r="G180" s="12">
        <v>340</v>
      </c>
      <c r="H180" s="12">
        <v>5.2</v>
      </c>
      <c r="I180" s="12"/>
      <c r="J180" s="12" t="s">
        <v>80</v>
      </c>
      <c r="K180" s="12" t="b">
        <v>0</v>
      </c>
      <c r="L180" s="12">
        <v>3</v>
      </c>
      <c r="M180" s="8">
        <v>2017</v>
      </c>
      <c r="N180" s="9">
        <v>0</v>
      </c>
      <c r="O180" s="13">
        <v>41717</v>
      </c>
      <c r="P180" s="13">
        <v>41717</v>
      </c>
    </row>
    <row r="181" spans="1:16">
      <c r="A181" s="10">
        <v>2014</v>
      </c>
      <c r="B181" s="11" t="s">
        <v>489</v>
      </c>
      <c r="C181" s="11" t="s">
        <v>490</v>
      </c>
      <c r="D181" s="12">
        <v>1002052</v>
      </c>
      <c r="E181" s="12">
        <v>2</v>
      </c>
      <c r="F181" s="12"/>
      <c r="G181" s="12">
        <v>790</v>
      </c>
      <c r="H181" s="12">
        <v>13</v>
      </c>
      <c r="I181" s="12"/>
      <c r="J181" s="12" t="s">
        <v>118</v>
      </c>
      <c r="K181" s="12" t="b">
        <v>1</v>
      </c>
      <c r="L181" s="12">
        <v>2</v>
      </c>
      <c r="M181" s="8">
        <v>2016</v>
      </c>
      <c r="N181" s="9">
        <v>0</v>
      </c>
      <c r="O181" s="13">
        <v>41717</v>
      </c>
      <c r="P181" s="13">
        <v>41717</v>
      </c>
    </row>
    <row r="182" spans="1:16">
      <c r="A182" s="10">
        <v>2014</v>
      </c>
      <c r="B182" s="11" t="s">
        <v>489</v>
      </c>
      <c r="C182" s="11" t="s">
        <v>490</v>
      </c>
      <c r="D182" s="12">
        <v>1002052</v>
      </c>
      <c r="E182" s="12">
        <v>2</v>
      </c>
      <c r="F182" s="12"/>
      <c r="G182" s="12">
        <v>810</v>
      </c>
      <c r="H182" s="12">
        <v>13.2</v>
      </c>
      <c r="I182" s="12"/>
      <c r="J182" s="12" t="s">
        <v>120</v>
      </c>
      <c r="K182" s="12" t="b">
        <v>1</v>
      </c>
      <c r="L182" s="12">
        <v>2</v>
      </c>
      <c r="M182" s="8">
        <v>2016</v>
      </c>
      <c r="N182" s="9">
        <v>0</v>
      </c>
      <c r="O182" s="13">
        <v>41717</v>
      </c>
      <c r="P182" s="13">
        <v>41717</v>
      </c>
    </row>
    <row r="183" spans="1:16">
      <c r="A183" s="10">
        <v>2014</v>
      </c>
      <c r="B183" s="11" t="s">
        <v>489</v>
      </c>
      <c r="C183" s="11" t="s">
        <v>490</v>
      </c>
      <c r="D183" s="12">
        <v>1002052</v>
      </c>
      <c r="E183" s="12">
        <v>2</v>
      </c>
      <c r="F183" s="12"/>
      <c r="G183" s="12">
        <v>508</v>
      </c>
      <c r="H183" s="12">
        <v>9.5</v>
      </c>
      <c r="I183" s="12" t="s">
        <v>392</v>
      </c>
      <c r="J183" s="12" t="s">
        <v>393</v>
      </c>
      <c r="K183" s="12" t="b">
        <v>0</v>
      </c>
      <c r="L183" s="12">
        <v>3</v>
      </c>
      <c r="M183" s="8">
        <v>2017</v>
      </c>
      <c r="N183" s="9">
        <v>0.2112</v>
      </c>
      <c r="O183" s="13">
        <v>41717</v>
      </c>
      <c r="P183" s="13">
        <v>41717</v>
      </c>
    </row>
    <row r="184" spans="1:16">
      <c r="A184" s="10">
        <v>2014</v>
      </c>
      <c r="B184" s="11" t="s">
        <v>489</v>
      </c>
      <c r="C184" s="11" t="s">
        <v>490</v>
      </c>
      <c r="D184" s="12">
        <v>1002052</v>
      </c>
      <c r="E184" s="12">
        <v>2</v>
      </c>
      <c r="F184" s="12"/>
      <c r="G184" s="12">
        <v>182</v>
      </c>
      <c r="H184" s="12" t="s">
        <v>368</v>
      </c>
      <c r="I184" s="12"/>
      <c r="J184" s="12" t="s">
        <v>369</v>
      </c>
      <c r="K184" s="12" t="b">
        <v>0</v>
      </c>
      <c r="L184" s="12">
        <v>2</v>
      </c>
      <c r="M184" s="8">
        <v>2016</v>
      </c>
      <c r="N184" s="9">
        <v>0</v>
      </c>
      <c r="O184" s="13">
        <v>41717</v>
      </c>
      <c r="P184" s="13">
        <v>41717</v>
      </c>
    </row>
    <row r="185" spans="1:16">
      <c r="A185" s="10">
        <v>2014</v>
      </c>
      <c r="B185" s="11" t="s">
        <v>489</v>
      </c>
      <c r="C185" s="11" t="s">
        <v>490</v>
      </c>
      <c r="D185" s="12">
        <v>1002052</v>
      </c>
      <c r="E185" s="12">
        <v>2</v>
      </c>
      <c r="F185" s="12"/>
      <c r="G185" s="12">
        <v>500</v>
      </c>
      <c r="H185" s="12">
        <v>9.4</v>
      </c>
      <c r="I185" s="12" t="s">
        <v>390</v>
      </c>
      <c r="J185" s="12" t="s">
        <v>391</v>
      </c>
      <c r="K185" s="12" t="b">
        <v>0</v>
      </c>
      <c r="L185" s="12">
        <v>1</v>
      </c>
      <c r="M185" s="8">
        <v>2015</v>
      </c>
      <c r="N185" s="9">
        <v>0</v>
      </c>
      <c r="O185" s="13">
        <v>41717</v>
      </c>
      <c r="P185" s="13">
        <v>41717</v>
      </c>
    </row>
    <row r="186" spans="1:16">
      <c r="A186" s="10">
        <v>2014</v>
      </c>
      <c r="B186" s="11" t="s">
        <v>489</v>
      </c>
      <c r="C186" s="11" t="s">
        <v>490</v>
      </c>
      <c r="D186" s="12">
        <v>1002052</v>
      </c>
      <c r="E186" s="12">
        <v>2</v>
      </c>
      <c r="F186" s="12"/>
      <c r="G186" s="12">
        <v>700</v>
      </c>
      <c r="H186" s="12">
        <v>12.2</v>
      </c>
      <c r="I186" s="12"/>
      <c r="J186" s="12" t="s">
        <v>103</v>
      </c>
      <c r="K186" s="12" t="b">
        <v>0</v>
      </c>
      <c r="L186" s="12">
        <v>0</v>
      </c>
      <c r="M186" s="8">
        <v>2014</v>
      </c>
      <c r="N186" s="9">
        <v>2179404</v>
      </c>
      <c r="O186" s="13">
        <v>41717</v>
      </c>
      <c r="P186" s="13">
        <v>41717</v>
      </c>
    </row>
    <row r="187" spans="1:16">
      <c r="A187" s="10">
        <v>2014</v>
      </c>
      <c r="B187" s="11" t="s">
        <v>489</v>
      </c>
      <c r="C187" s="11" t="s">
        <v>490</v>
      </c>
      <c r="D187" s="12">
        <v>1002052</v>
      </c>
      <c r="E187" s="12">
        <v>2</v>
      </c>
      <c r="F187" s="12"/>
      <c r="G187" s="12">
        <v>110</v>
      </c>
      <c r="H187" s="12" t="s">
        <v>56</v>
      </c>
      <c r="I187" s="12"/>
      <c r="J187" s="12" t="s">
        <v>57</v>
      </c>
      <c r="K187" s="12" t="b">
        <v>1</v>
      </c>
      <c r="L187" s="12">
        <v>0</v>
      </c>
      <c r="M187" s="8">
        <v>2014</v>
      </c>
      <c r="N187" s="9">
        <v>2179904</v>
      </c>
      <c r="O187" s="13">
        <v>41717</v>
      </c>
      <c r="P187" s="13">
        <v>41717</v>
      </c>
    </row>
    <row r="188" spans="1:16">
      <c r="A188" s="10">
        <v>2014</v>
      </c>
      <c r="B188" s="11" t="s">
        <v>489</v>
      </c>
      <c r="C188" s="11" t="s">
        <v>490</v>
      </c>
      <c r="D188" s="12">
        <v>1002052</v>
      </c>
      <c r="E188" s="12">
        <v>2</v>
      </c>
      <c r="F188" s="12"/>
      <c r="G188" s="12">
        <v>40</v>
      </c>
      <c r="H188" s="12" t="s">
        <v>43</v>
      </c>
      <c r="I188" s="12"/>
      <c r="J188" s="12" t="s">
        <v>44</v>
      </c>
      <c r="K188" s="12" t="b">
        <v>1</v>
      </c>
      <c r="L188" s="12">
        <v>0</v>
      </c>
      <c r="M188" s="8">
        <v>2014</v>
      </c>
      <c r="N188" s="9">
        <v>1000</v>
      </c>
      <c r="O188" s="13">
        <v>41717</v>
      </c>
      <c r="P188" s="13">
        <v>41717</v>
      </c>
    </row>
    <row r="189" spans="1:16">
      <c r="A189" s="10">
        <v>2014</v>
      </c>
      <c r="B189" s="11" t="s">
        <v>489</v>
      </c>
      <c r="C189" s="11" t="s">
        <v>490</v>
      </c>
      <c r="D189" s="12">
        <v>1002052</v>
      </c>
      <c r="E189" s="12">
        <v>2</v>
      </c>
      <c r="F189" s="12"/>
      <c r="G189" s="12">
        <v>220</v>
      </c>
      <c r="H189" s="12">
        <v>4.0999999999999996</v>
      </c>
      <c r="I189" s="12"/>
      <c r="J189" s="12" t="s">
        <v>66</v>
      </c>
      <c r="K189" s="12" t="b">
        <v>0</v>
      </c>
      <c r="L189" s="12">
        <v>0</v>
      </c>
      <c r="M189" s="8">
        <v>2014</v>
      </c>
      <c r="N189" s="9">
        <v>0</v>
      </c>
      <c r="O189" s="13">
        <v>41717</v>
      </c>
      <c r="P189" s="13">
        <v>41717</v>
      </c>
    </row>
    <row r="190" spans="1:16">
      <c r="A190" s="10">
        <v>2014</v>
      </c>
      <c r="B190" s="11" t="s">
        <v>489</v>
      </c>
      <c r="C190" s="11" t="s">
        <v>490</v>
      </c>
      <c r="D190" s="12">
        <v>1002052</v>
      </c>
      <c r="E190" s="12">
        <v>2</v>
      </c>
      <c r="F190" s="12"/>
      <c r="G190" s="12">
        <v>870</v>
      </c>
      <c r="H190" s="12">
        <v>14</v>
      </c>
      <c r="I190" s="12"/>
      <c r="J190" s="12" t="s">
        <v>126</v>
      </c>
      <c r="K190" s="12" t="b">
        <v>1</v>
      </c>
      <c r="L190" s="12">
        <v>0</v>
      </c>
      <c r="M190" s="8">
        <v>2014</v>
      </c>
      <c r="N190" s="9">
        <v>0</v>
      </c>
      <c r="O190" s="13">
        <v>41717</v>
      </c>
      <c r="P190" s="13">
        <v>41717</v>
      </c>
    </row>
    <row r="191" spans="1:16">
      <c r="A191" s="10">
        <v>2014</v>
      </c>
      <c r="B191" s="11" t="s">
        <v>489</v>
      </c>
      <c r="C191" s="11" t="s">
        <v>490</v>
      </c>
      <c r="D191" s="12">
        <v>1002052</v>
      </c>
      <c r="E191" s="12">
        <v>2</v>
      </c>
      <c r="F191" s="12"/>
      <c r="G191" s="12">
        <v>640</v>
      </c>
      <c r="H191" s="12">
        <v>11.5</v>
      </c>
      <c r="I191" s="12"/>
      <c r="J191" s="12" t="s">
        <v>95</v>
      </c>
      <c r="K191" s="12" t="b">
        <v>1</v>
      </c>
      <c r="L191" s="12">
        <v>0</v>
      </c>
      <c r="M191" s="8">
        <v>2014</v>
      </c>
      <c r="N191" s="9">
        <v>4559500</v>
      </c>
      <c r="O191" s="13">
        <v>41717</v>
      </c>
      <c r="P191" s="13">
        <v>41717</v>
      </c>
    </row>
    <row r="192" spans="1:16">
      <c r="A192" s="10">
        <v>2014</v>
      </c>
      <c r="B192" s="11" t="s">
        <v>489</v>
      </c>
      <c r="C192" s="11" t="s">
        <v>490</v>
      </c>
      <c r="D192" s="12">
        <v>1002052</v>
      </c>
      <c r="E192" s="12">
        <v>2</v>
      </c>
      <c r="F192" s="12"/>
      <c r="G192" s="12">
        <v>160</v>
      </c>
      <c r="H192" s="12" t="s">
        <v>62</v>
      </c>
      <c r="I192" s="12"/>
      <c r="J192" s="12" t="s">
        <v>365</v>
      </c>
      <c r="K192" s="12" t="b">
        <v>1</v>
      </c>
      <c r="L192" s="12">
        <v>1</v>
      </c>
      <c r="M192" s="8">
        <v>2015</v>
      </c>
      <c r="N192" s="9">
        <v>0</v>
      </c>
      <c r="O192" s="13">
        <v>41717</v>
      </c>
      <c r="P192" s="13">
        <v>41717</v>
      </c>
    </row>
    <row r="193" spans="1:16">
      <c r="A193" s="10">
        <v>2014</v>
      </c>
      <c r="B193" s="11" t="s">
        <v>489</v>
      </c>
      <c r="C193" s="11" t="s">
        <v>490</v>
      </c>
      <c r="D193" s="12">
        <v>1002052</v>
      </c>
      <c r="E193" s="12">
        <v>2</v>
      </c>
      <c r="F193" s="12"/>
      <c r="G193" s="12">
        <v>920</v>
      </c>
      <c r="H193" s="12" t="s">
        <v>132</v>
      </c>
      <c r="I193" s="12"/>
      <c r="J193" s="12" t="s">
        <v>416</v>
      </c>
      <c r="K193" s="12" t="b">
        <v>1</v>
      </c>
      <c r="L193" s="12">
        <v>3</v>
      </c>
      <c r="M193" s="8">
        <v>2017</v>
      </c>
      <c r="N193" s="9">
        <v>0</v>
      </c>
      <c r="O193" s="13">
        <v>41717</v>
      </c>
      <c r="P193" s="13">
        <v>41717</v>
      </c>
    </row>
    <row r="194" spans="1:16">
      <c r="A194" s="10">
        <v>2014</v>
      </c>
      <c r="B194" s="11" t="s">
        <v>489</v>
      </c>
      <c r="C194" s="11" t="s">
        <v>490</v>
      </c>
      <c r="D194" s="12">
        <v>1002052</v>
      </c>
      <c r="E194" s="12">
        <v>2</v>
      </c>
      <c r="F194" s="12"/>
      <c r="G194" s="12">
        <v>762</v>
      </c>
      <c r="H194" s="12" t="s">
        <v>116</v>
      </c>
      <c r="I194" s="12"/>
      <c r="J194" s="12" t="s">
        <v>117</v>
      </c>
      <c r="K194" s="12" t="b">
        <v>1</v>
      </c>
      <c r="L194" s="12">
        <v>1</v>
      </c>
      <c r="M194" s="8">
        <v>2015</v>
      </c>
      <c r="N194" s="9">
        <v>0</v>
      </c>
      <c r="O194" s="13">
        <v>41717</v>
      </c>
      <c r="P194" s="13">
        <v>41717</v>
      </c>
    </row>
    <row r="195" spans="1:16">
      <c r="A195" s="10">
        <v>2014</v>
      </c>
      <c r="B195" s="11" t="s">
        <v>489</v>
      </c>
      <c r="C195" s="11" t="s">
        <v>490</v>
      </c>
      <c r="D195" s="12">
        <v>1002052</v>
      </c>
      <c r="E195" s="12">
        <v>2</v>
      </c>
      <c r="F195" s="12"/>
      <c r="G195" s="12">
        <v>762</v>
      </c>
      <c r="H195" s="12" t="s">
        <v>116</v>
      </c>
      <c r="I195" s="12"/>
      <c r="J195" s="12" t="s">
        <v>117</v>
      </c>
      <c r="K195" s="12" t="b">
        <v>1</v>
      </c>
      <c r="L195" s="12">
        <v>3</v>
      </c>
      <c r="M195" s="8">
        <v>2017</v>
      </c>
      <c r="N195" s="9">
        <v>0</v>
      </c>
      <c r="O195" s="13">
        <v>41717</v>
      </c>
      <c r="P195" s="13">
        <v>41717</v>
      </c>
    </row>
    <row r="196" spans="1:16">
      <c r="A196" s="10">
        <v>2014</v>
      </c>
      <c r="B196" s="11" t="s">
        <v>489</v>
      </c>
      <c r="C196" s="11" t="s">
        <v>490</v>
      </c>
      <c r="D196" s="12">
        <v>1002052</v>
      </c>
      <c r="E196" s="12">
        <v>2</v>
      </c>
      <c r="F196" s="12"/>
      <c r="G196" s="12">
        <v>420</v>
      </c>
      <c r="H196" s="12">
        <v>8.1</v>
      </c>
      <c r="I196" s="12" t="s">
        <v>382</v>
      </c>
      <c r="J196" s="12" t="s">
        <v>82</v>
      </c>
      <c r="K196" s="12" t="b">
        <v>0</v>
      </c>
      <c r="L196" s="12">
        <v>3</v>
      </c>
      <c r="M196" s="8">
        <v>2017</v>
      </c>
      <c r="N196" s="9">
        <v>2570000</v>
      </c>
      <c r="O196" s="13">
        <v>41717</v>
      </c>
      <c r="P196" s="13">
        <v>41717</v>
      </c>
    </row>
    <row r="197" spans="1:16">
      <c r="A197" s="10">
        <v>2014</v>
      </c>
      <c r="B197" s="11" t="s">
        <v>489</v>
      </c>
      <c r="C197" s="11" t="s">
        <v>490</v>
      </c>
      <c r="D197" s="12">
        <v>1002052</v>
      </c>
      <c r="E197" s="12">
        <v>2</v>
      </c>
      <c r="F197" s="12"/>
      <c r="G197" s="12">
        <v>10</v>
      </c>
      <c r="H197" s="12">
        <v>1</v>
      </c>
      <c r="I197" s="12" t="s">
        <v>492</v>
      </c>
      <c r="J197" s="12" t="s">
        <v>24</v>
      </c>
      <c r="K197" s="12" t="b">
        <v>1</v>
      </c>
      <c r="L197" s="12">
        <v>2</v>
      </c>
      <c r="M197" s="8">
        <v>2016</v>
      </c>
      <c r="N197" s="9">
        <v>12050000</v>
      </c>
      <c r="O197" s="13">
        <v>41717</v>
      </c>
      <c r="P197" s="13">
        <v>41717</v>
      </c>
    </row>
    <row r="198" spans="1:16">
      <c r="A198" s="10">
        <v>2014</v>
      </c>
      <c r="B198" s="11" t="s">
        <v>489</v>
      </c>
      <c r="C198" s="11" t="s">
        <v>490</v>
      </c>
      <c r="D198" s="12">
        <v>1002052</v>
      </c>
      <c r="E198" s="12">
        <v>2</v>
      </c>
      <c r="F198" s="12"/>
      <c r="G198" s="12">
        <v>350</v>
      </c>
      <c r="H198" s="12">
        <v>6</v>
      </c>
      <c r="I198" s="12"/>
      <c r="J198" s="12" t="s">
        <v>25</v>
      </c>
      <c r="K198" s="12" t="b">
        <v>1</v>
      </c>
      <c r="L198" s="12">
        <v>1</v>
      </c>
      <c r="M198" s="8">
        <v>2015</v>
      </c>
      <c r="N198" s="9">
        <v>0</v>
      </c>
      <c r="O198" s="13">
        <v>41717</v>
      </c>
      <c r="P198" s="13">
        <v>41717</v>
      </c>
    </row>
    <row r="199" spans="1:16">
      <c r="A199" s="10">
        <v>2014</v>
      </c>
      <c r="B199" s="11" t="s">
        <v>489</v>
      </c>
      <c r="C199" s="11" t="s">
        <v>490</v>
      </c>
      <c r="D199" s="12">
        <v>1002052</v>
      </c>
      <c r="E199" s="12">
        <v>2</v>
      </c>
      <c r="F199" s="12"/>
      <c r="G199" s="12">
        <v>220</v>
      </c>
      <c r="H199" s="12">
        <v>4.0999999999999996</v>
      </c>
      <c r="I199" s="12"/>
      <c r="J199" s="12" t="s">
        <v>66</v>
      </c>
      <c r="K199" s="12" t="b">
        <v>0</v>
      </c>
      <c r="L199" s="12">
        <v>3</v>
      </c>
      <c r="M199" s="8">
        <v>2017</v>
      </c>
      <c r="N199" s="9">
        <v>0</v>
      </c>
      <c r="O199" s="13">
        <v>41717</v>
      </c>
      <c r="P199" s="13">
        <v>41717</v>
      </c>
    </row>
    <row r="200" spans="1:16">
      <c r="A200" s="10">
        <v>2014</v>
      </c>
      <c r="B200" s="11" t="s">
        <v>489</v>
      </c>
      <c r="C200" s="11" t="s">
        <v>490</v>
      </c>
      <c r="D200" s="12">
        <v>1002052</v>
      </c>
      <c r="E200" s="12">
        <v>2</v>
      </c>
      <c r="F200" s="12"/>
      <c r="G200" s="12">
        <v>400</v>
      </c>
      <c r="H200" s="12">
        <v>7</v>
      </c>
      <c r="I200" s="12"/>
      <c r="J200" s="12" t="s">
        <v>81</v>
      </c>
      <c r="K200" s="12" t="b">
        <v>1</v>
      </c>
      <c r="L200" s="12">
        <v>2</v>
      </c>
      <c r="M200" s="8">
        <v>2016</v>
      </c>
      <c r="N200" s="9">
        <v>0</v>
      </c>
      <c r="O200" s="13">
        <v>41717</v>
      </c>
      <c r="P200" s="13">
        <v>41717</v>
      </c>
    </row>
    <row r="201" spans="1:16">
      <c r="A201" s="10">
        <v>2014</v>
      </c>
      <c r="B201" s="11" t="s">
        <v>489</v>
      </c>
      <c r="C201" s="11" t="s">
        <v>490</v>
      </c>
      <c r="D201" s="12">
        <v>1002052</v>
      </c>
      <c r="E201" s="12">
        <v>2</v>
      </c>
      <c r="F201" s="12"/>
      <c r="G201" s="12">
        <v>100</v>
      </c>
      <c r="H201" s="12" t="s">
        <v>54</v>
      </c>
      <c r="I201" s="12"/>
      <c r="J201" s="12" t="s">
        <v>55</v>
      </c>
      <c r="K201" s="12" t="b">
        <v>1</v>
      </c>
      <c r="L201" s="12">
        <v>0</v>
      </c>
      <c r="M201" s="8">
        <v>2014</v>
      </c>
      <c r="N201" s="9">
        <v>200000</v>
      </c>
      <c r="O201" s="13">
        <v>41717</v>
      </c>
      <c r="P201" s="13">
        <v>41717</v>
      </c>
    </row>
    <row r="202" spans="1:16">
      <c r="A202" s="10">
        <v>2014</v>
      </c>
      <c r="B202" s="11" t="s">
        <v>489</v>
      </c>
      <c r="C202" s="11" t="s">
        <v>490</v>
      </c>
      <c r="D202" s="12">
        <v>1002052</v>
      </c>
      <c r="E202" s="12">
        <v>2</v>
      </c>
      <c r="F202" s="12"/>
      <c r="G202" s="12">
        <v>440</v>
      </c>
      <c r="H202" s="12">
        <v>9</v>
      </c>
      <c r="I202" s="12"/>
      <c r="J202" s="12" t="s">
        <v>149</v>
      </c>
      <c r="K202" s="12" t="b">
        <v>0</v>
      </c>
      <c r="L202" s="12">
        <v>3</v>
      </c>
      <c r="M202" s="8">
        <v>2017</v>
      </c>
      <c r="N202" s="9">
        <v>0</v>
      </c>
      <c r="O202" s="13">
        <v>41717</v>
      </c>
      <c r="P202" s="13">
        <v>41717</v>
      </c>
    </row>
    <row r="203" spans="1:16">
      <c r="A203" s="10">
        <v>2014</v>
      </c>
      <c r="B203" s="11" t="s">
        <v>489</v>
      </c>
      <c r="C203" s="11" t="s">
        <v>490</v>
      </c>
      <c r="D203" s="12">
        <v>1002052</v>
      </c>
      <c r="E203" s="12">
        <v>2</v>
      </c>
      <c r="F203" s="12"/>
      <c r="G203" s="12">
        <v>940</v>
      </c>
      <c r="H203" s="12">
        <v>14.4</v>
      </c>
      <c r="I203" s="12"/>
      <c r="J203" s="12" t="s">
        <v>135</v>
      </c>
      <c r="K203" s="12" t="b">
        <v>1</v>
      </c>
      <c r="L203" s="12">
        <v>1</v>
      </c>
      <c r="M203" s="8">
        <v>2015</v>
      </c>
      <c r="N203" s="9">
        <v>0</v>
      </c>
      <c r="O203" s="13">
        <v>41717</v>
      </c>
      <c r="P203" s="13">
        <v>41717</v>
      </c>
    </row>
    <row r="204" spans="1:16">
      <c r="A204" s="10">
        <v>2014</v>
      </c>
      <c r="B204" s="11" t="s">
        <v>489</v>
      </c>
      <c r="C204" s="11" t="s">
        <v>490</v>
      </c>
      <c r="D204" s="12">
        <v>1002052</v>
      </c>
      <c r="E204" s="12">
        <v>2</v>
      </c>
      <c r="F204" s="12"/>
      <c r="G204" s="12">
        <v>810</v>
      </c>
      <c r="H204" s="12">
        <v>13.2</v>
      </c>
      <c r="I204" s="12"/>
      <c r="J204" s="12" t="s">
        <v>120</v>
      </c>
      <c r="K204" s="12" t="b">
        <v>1</v>
      </c>
      <c r="L204" s="12">
        <v>0</v>
      </c>
      <c r="M204" s="8">
        <v>2014</v>
      </c>
      <c r="N204" s="9">
        <v>0</v>
      </c>
      <c r="O204" s="13">
        <v>41717</v>
      </c>
      <c r="P204" s="13">
        <v>41717</v>
      </c>
    </row>
    <row r="205" spans="1:16">
      <c r="A205" s="10">
        <v>2014</v>
      </c>
      <c r="B205" s="11" t="s">
        <v>489</v>
      </c>
      <c r="C205" s="11" t="s">
        <v>490</v>
      </c>
      <c r="D205" s="12">
        <v>1002052</v>
      </c>
      <c r="E205" s="12">
        <v>2</v>
      </c>
      <c r="F205" s="12"/>
      <c r="G205" s="12">
        <v>440</v>
      </c>
      <c r="H205" s="12">
        <v>9</v>
      </c>
      <c r="I205" s="12"/>
      <c r="J205" s="12" t="s">
        <v>149</v>
      </c>
      <c r="K205" s="12" t="b">
        <v>0</v>
      </c>
      <c r="L205" s="12">
        <v>1</v>
      </c>
      <c r="M205" s="8">
        <v>2015</v>
      </c>
      <c r="N205" s="9">
        <v>0</v>
      </c>
      <c r="O205" s="13">
        <v>41717</v>
      </c>
      <c r="P205" s="13">
        <v>41717</v>
      </c>
    </row>
    <row r="206" spans="1:16">
      <c r="A206" s="10">
        <v>2014</v>
      </c>
      <c r="B206" s="11" t="s">
        <v>489</v>
      </c>
      <c r="C206" s="11" t="s">
        <v>490</v>
      </c>
      <c r="D206" s="12">
        <v>1002052</v>
      </c>
      <c r="E206" s="12">
        <v>2</v>
      </c>
      <c r="F206" s="12"/>
      <c r="G206" s="12">
        <v>200</v>
      </c>
      <c r="H206" s="12">
        <v>3</v>
      </c>
      <c r="I206" s="12" t="s">
        <v>372</v>
      </c>
      <c r="J206" s="12" t="s">
        <v>21</v>
      </c>
      <c r="K206" s="12" t="b">
        <v>0</v>
      </c>
      <c r="L206" s="12">
        <v>2</v>
      </c>
      <c r="M206" s="8">
        <v>2016</v>
      </c>
      <c r="N206" s="9">
        <v>0</v>
      </c>
      <c r="O206" s="13">
        <v>41717</v>
      </c>
      <c r="P206" s="13">
        <v>41717</v>
      </c>
    </row>
    <row r="207" spans="1:16">
      <c r="A207" s="10">
        <v>2014</v>
      </c>
      <c r="B207" s="11" t="s">
        <v>489</v>
      </c>
      <c r="C207" s="11" t="s">
        <v>490</v>
      </c>
      <c r="D207" s="12">
        <v>1002052</v>
      </c>
      <c r="E207" s="12">
        <v>2</v>
      </c>
      <c r="F207" s="12"/>
      <c r="G207" s="12">
        <v>310</v>
      </c>
      <c r="H207" s="12">
        <v>5.0999999999999996</v>
      </c>
      <c r="I207" s="12"/>
      <c r="J207" s="12" t="s">
        <v>77</v>
      </c>
      <c r="K207" s="12" t="b">
        <v>1</v>
      </c>
      <c r="L207" s="12">
        <v>1</v>
      </c>
      <c r="M207" s="8">
        <v>2015</v>
      </c>
      <c r="N207" s="9">
        <v>0</v>
      </c>
      <c r="O207" s="13">
        <v>41717</v>
      </c>
      <c r="P207" s="13">
        <v>41717</v>
      </c>
    </row>
    <row r="208" spans="1:16">
      <c r="A208" s="10">
        <v>2014</v>
      </c>
      <c r="B208" s="11" t="s">
        <v>489</v>
      </c>
      <c r="C208" s="11" t="s">
        <v>490</v>
      </c>
      <c r="D208" s="12">
        <v>1002052</v>
      </c>
      <c r="E208" s="12">
        <v>2</v>
      </c>
      <c r="F208" s="12"/>
      <c r="G208" s="12">
        <v>430</v>
      </c>
      <c r="H208" s="12">
        <v>8.1999999999999993</v>
      </c>
      <c r="I208" s="12" t="s">
        <v>383</v>
      </c>
      <c r="J208" s="12" t="s">
        <v>384</v>
      </c>
      <c r="K208" s="12" t="b">
        <v>0</v>
      </c>
      <c r="L208" s="12">
        <v>1</v>
      </c>
      <c r="M208" s="8">
        <v>2015</v>
      </c>
      <c r="N208" s="9">
        <v>1685000</v>
      </c>
      <c r="O208" s="13">
        <v>41717</v>
      </c>
      <c r="P208" s="13">
        <v>41717</v>
      </c>
    </row>
    <row r="209" spans="1:16">
      <c r="A209" s="10">
        <v>2014</v>
      </c>
      <c r="B209" s="11" t="s">
        <v>489</v>
      </c>
      <c r="C209" s="11" t="s">
        <v>490</v>
      </c>
      <c r="D209" s="12">
        <v>1002052</v>
      </c>
      <c r="E209" s="12">
        <v>2</v>
      </c>
      <c r="F209" s="12"/>
      <c r="G209" s="12">
        <v>70</v>
      </c>
      <c r="H209" s="12" t="s">
        <v>49</v>
      </c>
      <c r="I209" s="12"/>
      <c r="J209" s="12" t="s">
        <v>50</v>
      </c>
      <c r="K209" s="12" t="b">
        <v>1</v>
      </c>
      <c r="L209" s="12">
        <v>3</v>
      </c>
      <c r="M209" s="8">
        <v>2017</v>
      </c>
      <c r="N209" s="9">
        <v>3294922</v>
      </c>
      <c r="O209" s="13">
        <v>41717</v>
      </c>
      <c r="P209" s="13">
        <v>41717</v>
      </c>
    </row>
    <row r="210" spans="1:16">
      <c r="A210" s="10">
        <v>2014</v>
      </c>
      <c r="B210" s="11" t="s">
        <v>489</v>
      </c>
      <c r="C210" s="11" t="s">
        <v>490</v>
      </c>
      <c r="D210" s="12">
        <v>1002052</v>
      </c>
      <c r="E210" s="12">
        <v>2</v>
      </c>
      <c r="F210" s="12"/>
      <c r="G210" s="12">
        <v>860</v>
      </c>
      <c r="H210" s="12">
        <v>13.7</v>
      </c>
      <c r="I210" s="12"/>
      <c r="J210" s="12" t="s">
        <v>125</v>
      </c>
      <c r="K210" s="12" t="b">
        <v>1</v>
      </c>
      <c r="L210" s="12">
        <v>2</v>
      </c>
      <c r="M210" s="8">
        <v>2016</v>
      </c>
      <c r="N210" s="9">
        <v>0</v>
      </c>
      <c r="O210" s="13">
        <v>41717</v>
      </c>
      <c r="P210" s="13">
        <v>41717</v>
      </c>
    </row>
    <row r="211" spans="1:16">
      <c r="A211" s="10">
        <v>2014</v>
      </c>
      <c r="B211" s="11" t="s">
        <v>489</v>
      </c>
      <c r="C211" s="11" t="s">
        <v>490</v>
      </c>
      <c r="D211" s="12">
        <v>1002052</v>
      </c>
      <c r="E211" s="12">
        <v>2</v>
      </c>
      <c r="F211" s="12"/>
      <c r="G211" s="12">
        <v>400</v>
      </c>
      <c r="H211" s="12">
        <v>7</v>
      </c>
      <c r="I211" s="12"/>
      <c r="J211" s="12" t="s">
        <v>81</v>
      </c>
      <c r="K211" s="12" t="b">
        <v>1</v>
      </c>
      <c r="L211" s="12">
        <v>1</v>
      </c>
      <c r="M211" s="8">
        <v>2015</v>
      </c>
      <c r="N211" s="9">
        <v>0</v>
      </c>
      <c r="O211" s="13">
        <v>41717</v>
      </c>
      <c r="P211" s="13">
        <v>41717</v>
      </c>
    </row>
    <row r="212" spans="1:16">
      <c r="A212" s="10">
        <v>2014</v>
      </c>
      <c r="B212" s="11" t="s">
        <v>489</v>
      </c>
      <c r="C212" s="11" t="s">
        <v>490</v>
      </c>
      <c r="D212" s="12">
        <v>1002052</v>
      </c>
      <c r="E212" s="12">
        <v>2</v>
      </c>
      <c r="F212" s="12"/>
      <c r="G212" s="12">
        <v>508</v>
      </c>
      <c r="H212" s="12">
        <v>9.5</v>
      </c>
      <c r="I212" s="12" t="s">
        <v>392</v>
      </c>
      <c r="J212" s="12" t="s">
        <v>393</v>
      </c>
      <c r="K212" s="12" t="b">
        <v>0</v>
      </c>
      <c r="L212" s="12">
        <v>1</v>
      </c>
      <c r="M212" s="8">
        <v>2015</v>
      </c>
      <c r="N212" s="9">
        <v>0.15570000000000001</v>
      </c>
      <c r="O212" s="13">
        <v>41717</v>
      </c>
      <c r="P212" s="13">
        <v>41717</v>
      </c>
    </row>
    <row r="213" spans="1:16">
      <c r="A213" s="10">
        <v>2014</v>
      </c>
      <c r="B213" s="11" t="s">
        <v>489</v>
      </c>
      <c r="C213" s="11" t="s">
        <v>490</v>
      </c>
      <c r="D213" s="12">
        <v>1002052</v>
      </c>
      <c r="E213" s="12">
        <v>2</v>
      </c>
      <c r="F213" s="12"/>
      <c r="G213" s="12">
        <v>350</v>
      </c>
      <c r="H213" s="12">
        <v>6</v>
      </c>
      <c r="I213" s="12"/>
      <c r="J213" s="12" t="s">
        <v>25</v>
      </c>
      <c r="K213" s="12" t="b">
        <v>1</v>
      </c>
      <c r="L213" s="12">
        <v>0</v>
      </c>
      <c r="M213" s="8">
        <v>2014</v>
      </c>
      <c r="N213" s="9">
        <v>0</v>
      </c>
      <c r="O213" s="13">
        <v>41717</v>
      </c>
      <c r="P213" s="13">
        <v>41717</v>
      </c>
    </row>
    <row r="214" spans="1:16">
      <c r="A214" s="10">
        <v>2014</v>
      </c>
      <c r="B214" s="11" t="s">
        <v>489</v>
      </c>
      <c r="C214" s="11" t="s">
        <v>490</v>
      </c>
      <c r="D214" s="12">
        <v>1002052</v>
      </c>
      <c r="E214" s="12">
        <v>2</v>
      </c>
      <c r="F214" s="12"/>
      <c r="G214" s="12">
        <v>490</v>
      </c>
      <c r="H214" s="12">
        <v>9.3000000000000007</v>
      </c>
      <c r="I214" s="12"/>
      <c r="J214" s="12" t="s">
        <v>389</v>
      </c>
      <c r="K214" s="12" t="b">
        <v>1</v>
      </c>
      <c r="L214" s="12">
        <v>3</v>
      </c>
      <c r="M214" s="8">
        <v>2017</v>
      </c>
      <c r="N214" s="9">
        <v>0</v>
      </c>
      <c r="O214" s="13">
        <v>41717</v>
      </c>
      <c r="P214" s="13">
        <v>41717</v>
      </c>
    </row>
    <row r="215" spans="1:16">
      <c r="A215" s="10">
        <v>2014</v>
      </c>
      <c r="B215" s="11" t="s">
        <v>489</v>
      </c>
      <c r="C215" s="11" t="s">
        <v>490</v>
      </c>
      <c r="D215" s="12">
        <v>1002052</v>
      </c>
      <c r="E215" s="12">
        <v>2</v>
      </c>
      <c r="F215" s="12"/>
      <c r="G215" s="12">
        <v>334</v>
      </c>
      <c r="H215" s="12" t="s">
        <v>378</v>
      </c>
      <c r="I215" s="12"/>
      <c r="J215" s="12" t="s">
        <v>379</v>
      </c>
      <c r="K215" s="12" t="b">
        <v>1</v>
      </c>
      <c r="L215" s="12">
        <v>0</v>
      </c>
      <c r="M215" s="8">
        <v>2014</v>
      </c>
      <c r="N215" s="9">
        <v>0</v>
      </c>
      <c r="O215" s="13">
        <v>41717</v>
      </c>
      <c r="P215" s="13">
        <v>41717</v>
      </c>
    </row>
    <row r="216" spans="1:16">
      <c r="A216" s="10">
        <v>2014</v>
      </c>
      <c r="B216" s="11" t="s">
        <v>489</v>
      </c>
      <c r="C216" s="11" t="s">
        <v>490</v>
      </c>
      <c r="D216" s="12">
        <v>1002052</v>
      </c>
      <c r="E216" s="12">
        <v>2</v>
      </c>
      <c r="F216" s="12"/>
      <c r="G216" s="12">
        <v>910</v>
      </c>
      <c r="H216" s="12" t="s">
        <v>130</v>
      </c>
      <c r="I216" s="12"/>
      <c r="J216" s="12" t="s">
        <v>131</v>
      </c>
      <c r="K216" s="12" t="b">
        <v>1</v>
      </c>
      <c r="L216" s="12">
        <v>3</v>
      </c>
      <c r="M216" s="8">
        <v>2017</v>
      </c>
      <c r="N216" s="9">
        <v>0</v>
      </c>
      <c r="O216" s="13">
        <v>41717</v>
      </c>
      <c r="P216" s="13">
        <v>41717</v>
      </c>
    </row>
    <row r="217" spans="1:16">
      <c r="A217" s="10">
        <v>2014</v>
      </c>
      <c r="B217" s="11" t="s">
        <v>489</v>
      </c>
      <c r="C217" s="11" t="s">
        <v>490</v>
      </c>
      <c r="D217" s="12">
        <v>1002052</v>
      </c>
      <c r="E217" s="12">
        <v>2</v>
      </c>
      <c r="F217" s="12"/>
      <c r="G217" s="12">
        <v>762</v>
      </c>
      <c r="H217" s="12" t="s">
        <v>116</v>
      </c>
      <c r="I217" s="12"/>
      <c r="J217" s="12" t="s">
        <v>117</v>
      </c>
      <c r="K217" s="12" t="b">
        <v>1</v>
      </c>
      <c r="L217" s="12">
        <v>0</v>
      </c>
      <c r="M217" s="8">
        <v>2014</v>
      </c>
      <c r="N217" s="9">
        <v>0</v>
      </c>
      <c r="O217" s="13">
        <v>41717</v>
      </c>
      <c r="P217" s="13">
        <v>41717</v>
      </c>
    </row>
    <row r="218" spans="1:16">
      <c r="A218" s="10">
        <v>2014</v>
      </c>
      <c r="B218" s="11" t="s">
        <v>489</v>
      </c>
      <c r="C218" s="11" t="s">
        <v>490</v>
      </c>
      <c r="D218" s="12">
        <v>1002052</v>
      </c>
      <c r="E218" s="12">
        <v>2</v>
      </c>
      <c r="F218" s="12"/>
      <c r="G218" s="12">
        <v>160</v>
      </c>
      <c r="H218" s="12" t="s">
        <v>62</v>
      </c>
      <c r="I218" s="12"/>
      <c r="J218" s="12" t="s">
        <v>365</v>
      </c>
      <c r="K218" s="12" t="b">
        <v>1</v>
      </c>
      <c r="L218" s="12">
        <v>2</v>
      </c>
      <c r="M218" s="8">
        <v>2016</v>
      </c>
      <c r="N218" s="9">
        <v>0</v>
      </c>
      <c r="O218" s="13">
        <v>41717</v>
      </c>
      <c r="P218" s="13">
        <v>41717</v>
      </c>
    </row>
    <row r="219" spans="1:16">
      <c r="A219" s="10">
        <v>2014</v>
      </c>
      <c r="B219" s="11" t="s">
        <v>489</v>
      </c>
      <c r="C219" s="11" t="s">
        <v>490</v>
      </c>
      <c r="D219" s="12">
        <v>1002052</v>
      </c>
      <c r="E219" s="12">
        <v>2</v>
      </c>
      <c r="F219" s="12"/>
      <c r="G219" s="12">
        <v>640</v>
      </c>
      <c r="H219" s="12">
        <v>11.5</v>
      </c>
      <c r="I219" s="12"/>
      <c r="J219" s="12" t="s">
        <v>95</v>
      </c>
      <c r="K219" s="12" t="b">
        <v>1</v>
      </c>
      <c r="L219" s="12">
        <v>2</v>
      </c>
      <c r="M219" s="8">
        <v>2016</v>
      </c>
      <c r="N219" s="9">
        <v>2682000</v>
      </c>
      <c r="O219" s="13">
        <v>41717</v>
      </c>
      <c r="P219" s="13">
        <v>41717</v>
      </c>
    </row>
    <row r="220" spans="1:16">
      <c r="A220" s="10">
        <v>2014</v>
      </c>
      <c r="B220" s="11" t="s">
        <v>489</v>
      </c>
      <c r="C220" s="11" t="s">
        <v>490</v>
      </c>
      <c r="D220" s="12">
        <v>1002052</v>
      </c>
      <c r="E220" s="12">
        <v>2</v>
      </c>
      <c r="F220" s="12"/>
      <c r="G220" s="12">
        <v>550</v>
      </c>
      <c r="H220" s="12">
        <v>10</v>
      </c>
      <c r="I220" s="12"/>
      <c r="J220" s="12" t="s">
        <v>85</v>
      </c>
      <c r="K220" s="12" t="b">
        <v>0</v>
      </c>
      <c r="L220" s="12">
        <v>2</v>
      </c>
      <c r="M220" s="8">
        <v>2016</v>
      </c>
      <c r="N220" s="9">
        <v>0</v>
      </c>
      <c r="O220" s="13">
        <v>41717</v>
      </c>
      <c r="P220" s="13">
        <v>41717</v>
      </c>
    </row>
    <row r="221" spans="1:16">
      <c r="A221" s="10">
        <v>2014</v>
      </c>
      <c r="B221" s="11" t="s">
        <v>489</v>
      </c>
      <c r="C221" s="11" t="s">
        <v>490</v>
      </c>
      <c r="D221" s="12">
        <v>1002052</v>
      </c>
      <c r="E221" s="12">
        <v>2</v>
      </c>
      <c r="F221" s="12"/>
      <c r="G221" s="12">
        <v>340</v>
      </c>
      <c r="H221" s="12">
        <v>5.2</v>
      </c>
      <c r="I221" s="12"/>
      <c r="J221" s="12" t="s">
        <v>80</v>
      </c>
      <c r="K221" s="12" t="b">
        <v>0</v>
      </c>
      <c r="L221" s="12">
        <v>2</v>
      </c>
      <c r="M221" s="8">
        <v>2016</v>
      </c>
      <c r="N221" s="9">
        <v>0</v>
      </c>
      <c r="O221" s="13">
        <v>41717</v>
      </c>
      <c r="P221" s="13">
        <v>41717</v>
      </c>
    </row>
    <row r="222" spans="1:16">
      <c r="A222" s="10">
        <v>2014</v>
      </c>
      <c r="B222" s="11" t="s">
        <v>489</v>
      </c>
      <c r="C222" s="11" t="s">
        <v>490</v>
      </c>
      <c r="D222" s="12">
        <v>1002052</v>
      </c>
      <c r="E222" s="12">
        <v>2</v>
      </c>
      <c r="F222" s="12"/>
      <c r="G222" s="12">
        <v>810</v>
      </c>
      <c r="H222" s="12">
        <v>13.2</v>
      </c>
      <c r="I222" s="12"/>
      <c r="J222" s="12" t="s">
        <v>120</v>
      </c>
      <c r="K222" s="12" t="b">
        <v>1</v>
      </c>
      <c r="L222" s="12">
        <v>3</v>
      </c>
      <c r="M222" s="8">
        <v>2017</v>
      </c>
      <c r="N222" s="9">
        <v>0</v>
      </c>
      <c r="O222" s="13">
        <v>41717</v>
      </c>
      <c r="P222" s="13">
        <v>41717</v>
      </c>
    </row>
    <row r="223" spans="1:16">
      <c r="A223" s="10">
        <v>2014</v>
      </c>
      <c r="B223" s="11" t="s">
        <v>489</v>
      </c>
      <c r="C223" s="11" t="s">
        <v>490</v>
      </c>
      <c r="D223" s="12">
        <v>1002052</v>
      </c>
      <c r="E223" s="12">
        <v>2</v>
      </c>
      <c r="F223" s="12"/>
      <c r="G223" s="12">
        <v>880</v>
      </c>
      <c r="H223" s="12">
        <v>14.1</v>
      </c>
      <c r="I223" s="12"/>
      <c r="J223" s="12" t="s">
        <v>127</v>
      </c>
      <c r="K223" s="12" t="b">
        <v>1</v>
      </c>
      <c r="L223" s="12">
        <v>2</v>
      </c>
      <c r="M223" s="8">
        <v>2016</v>
      </c>
      <c r="N223" s="9">
        <v>0</v>
      </c>
      <c r="O223" s="13">
        <v>41717</v>
      </c>
      <c r="P223" s="13">
        <v>41717</v>
      </c>
    </row>
    <row r="224" spans="1:16">
      <c r="A224" s="10">
        <v>2014</v>
      </c>
      <c r="B224" s="11" t="s">
        <v>489</v>
      </c>
      <c r="C224" s="11" t="s">
        <v>490</v>
      </c>
      <c r="D224" s="12">
        <v>1002052</v>
      </c>
      <c r="E224" s="12">
        <v>2</v>
      </c>
      <c r="F224" s="12"/>
      <c r="G224" s="12">
        <v>334</v>
      </c>
      <c r="H224" s="12" t="s">
        <v>378</v>
      </c>
      <c r="I224" s="12"/>
      <c r="J224" s="12" t="s">
        <v>379</v>
      </c>
      <c r="K224" s="12" t="b">
        <v>1</v>
      </c>
      <c r="L224" s="12">
        <v>1</v>
      </c>
      <c r="M224" s="8">
        <v>2015</v>
      </c>
      <c r="N224" s="9">
        <v>0</v>
      </c>
      <c r="O224" s="13">
        <v>41717</v>
      </c>
      <c r="P224" s="13">
        <v>41717</v>
      </c>
    </row>
    <row r="225" spans="1:16">
      <c r="A225" s="10">
        <v>2014</v>
      </c>
      <c r="B225" s="11" t="s">
        <v>489</v>
      </c>
      <c r="C225" s="11" t="s">
        <v>490</v>
      </c>
      <c r="D225" s="12">
        <v>1002052</v>
      </c>
      <c r="E225" s="12">
        <v>2</v>
      </c>
      <c r="F225" s="12"/>
      <c r="G225" s="12">
        <v>880</v>
      </c>
      <c r="H225" s="12">
        <v>14.1</v>
      </c>
      <c r="I225" s="12"/>
      <c r="J225" s="12" t="s">
        <v>127</v>
      </c>
      <c r="K225" s="12" t="b">
        <v>1</v>
      </c>
      <c r="L225" s="12">
        <v>0</v>
      </c>
      <c r="M225" s="8">
        <v>2014</v>
      </c>
      <c r="N225" s="9">
        <v>773956.19</v>
      </c>
      <c r="O225" s="13">
        <v>41717</v>
      </c>
      <c r="P225" s="13">
        <v>41717</v>
      </c>
    </row>
    <row r="226" spans="1:16">
      <c r="A226" s="10">
        <v>2014</v>
      </c>
      <c r="B226" s="11" t="s">
        <v>489</v>
      </c>
      <c r="C226" s="11" t="s">
        <v>490</v>
      </c>
      <c r="D226" s="12">
        <v>1002052</v>
      </c>
      <c r="E226" s="12">
        <v>2</v>
      </c>
      <c r="F226" s="12"/>
      <c r="G226" s="12">
        <v>763</v>
      </c>
      <c r="H226" s="12">
        <v>12.5</v>
      </c>
      <c r="I226" s="12"/>
      <c r="J226" s="12" t="s">
        <v>404</v>
      </c>
      <c r="K226" s="12" t="b">
        <v>1</v>
      </c>
      <c r="L226" s="12">
        <v>2</v>
      </c>
      <c r="M226" s="8">
        <v>2016</v>
      </c>
      <c r="N226" s="9">
        <v>0</v>
      </c>
      <c r="O226" s="13">
        <v>41717</v>
      </c>
      <c r="P226" s="13">
        <v>41717</v>
      </c>
    </row>
    <row r="227" spans="1:16">
      <c r="A227" s="10">
        <v>2014</v>
      </c>
      <c r="B227" s="11" t="s">
        <v>489</v>
      </c>
      <c r="C227" s="11" t="s">
        <v>490</v>
      </c>
      <c r="D227" s="12">
        <v>1002052</v>
      </c>
      <c r="E227" s="12">
        <v>2</v>
      </c>
      <c r="F227" s="12"/>
      <c r="G227" s="12">
        <v>30</v>
      </c>
      <c r="H227" s="12" t="s">
        <v>41</v>
      </c>
      <c r="I227" s="12"/>
      <c r="J227" s="12" t="s">
        <v>42</v>
      </c>
      <c r="K227" s="12" t="b">
        <v>1</v>
      </c>
      <c r="L227" s="12">
        <v>0</v>
      </c>
      <c r="M227" s="8">
        <v>2014</v>
      </c>
      <c r="N227" s="9">
        <v>1335088</v>
      </c>
      <c r="O227" s="13">
        <v>41717</v>
      </c>
      <c r="P227" s="13">
        <v>41717</v>
      </c>
    </row>
    <row r="228" spans="1:16">
      <c r="A228" s="10">
        <v>2014</v>
      </c>
      <c r="B228" s="11" t="s">
        <v>489</v>
      </c>
      <c r="C228" s="11" t="s">
        <v>490</v>
      </c>
      <c r="D228" s="12">
        <v>1002052</v>
      </c>
      <c r="E228" s="12">
        <v>2</v>
      </c>
      <c r="F228" s="12"/>
      <c r="G228" s="12">
        <v>280</v>
      </c>
      <c r="H228" s="12">
        <v>4.4000000000000004</v>
      </c>
      <c r="I228" s="12"/>
      <c r="J228" s="12" t="s">
        <v>74</v>
      </c>
      <c r="K228" s="12" t="b">
        <v>0</v>
      </c>
      <c r="L228" s="12">
        <v>1</v>
      </c>
      <c r="M228" s="8">
        <v>2015</v>
      </c>
      <c r="N228" s="9">
        <v>0</v>
      </c>
      <c r="O228" s="13">
        <v>41717</v>
      </c>
      <c r="P228" s="13">
        <v>41717</v>
      </c>
    </row>
    <row r="229" spans="1:16">
      <c r="A229" s="10">
        <v>2014</v>
      </c>
      <c r="B229" s="11" t="s">
        <v>489</v>
      </c>
      <c r="C229" s="11" t="s">
        <v>490</v>
      </c>
      <c r="D229" s="12">
        <v>1002052</v>
      </c>
      <c r="E229" s="12">
        <v>2</v>
      </c>
      <c r="F229" s="12"/>
      <c r="G229" s="12">
        <v>530</v>
      </c>
      <c r="H229" s="12">
        <v>9.6999999999999993</v>
      </c>
      <c r="I229" s="12" t="s">
        <v>397</v>
      </c>
      <c r="J229" s="12" t="s">
        <v>398</v>
      </c>
      <c r="K229" s="12" t="b">
        <v>0</v>
      </c>
      <c r="L229" s="12">
        <v>1</v>
      </c>
      <c r="M229" s="8">
        <v>2015</v>
      </c>
      <c r="N229" s="9">
        <v>2179</v>
      </c>
      <c r="O229" s="13">
        <v>41717</v>
      </c>
      <c r="P229" s="13">
        <v>41717</v>
      </c>
    </row>
    <row r="230" spans="1:16">
      <c r="A230" s="10">
        <v>2014</v>
      </c>
      <c r="B230" s="11" t="s">
        <v>489</v>
      </c>
      <c r="C230" s="11" t="s">
        <v>490</v>
      </c>
      <c r="D230" s="12">
        <v>1002052</v>
      </c>
      <c r="E230" s="12">
        <v>2</v>
      </c>
      <c r="F230" s="12"/>
      <c r="G230" s="12">
        <v>970</v>
      </c>
      <c r="H230" s="12" t="s">
        <v>420</v>
      </c>
      <c r="I230" s="12"/>
      <c r="J230" s="12" t="s">
        <v>421</v>
      </c>
      <c r="K230" s="12" t="b">
        <v>1</v>
      </c>
      <c r="L230" s="12">
        <v>3</v>
      </c>
      <c r="M230" s="8">
        <v>2017</v>
      </c>
      <c r="N230" s="9">
        <v>0</v>
      </c>
      <c r="O230" s="13">
        <v>41717</v>
      </c>
      <c r="P230" s="13">
        <v>41717</v>
      </c>
    </row>
    <row r="231" spans="1:16">
      <c r="A231" s="10">
        <v>2014</v>
      </c>
      <c r="B231" s="11" t="s">
        <v>489</v>
      </c>
      <c r="C231" s="11" t="s">
        <v>490</v>
      </c>
      <c r="D231" s="12">
        <v>1002052</v>
      </c>
      <c r="E231" s="12">
        <v>2</v>
      </c>
      <c r="F231" s="12"/>
      <c r="G231" s="12">
        <v>240</v>
      </c>
      <c r="H231" s="12">
        <v>4.2</v>
      </c>
      <c r="I231" s="12"/>
      <c r="J231" s="12" t="s">
        <v>69</v>
      </c>
      <c r="K231" s="12" t="b">
        <v>0</v>
      </c>
      <c r="L231" s="12">
        <v>3</v>
      </c>
      <c r="M231" s="8">
        <v>2017</v>
      </c>
      <c r="N231" s="9">
        <v>0</v>
      </c>
      <c r="O231" s="13">
        <v>41717</v>
      </c>
      <c r="P231" s="13">
        <v>41717</v>
      </c>
    </row>
    <row r="232" spans="1:16">
      <c r="A232" s="10">
        <v>2014</v>
      </c>
      <c r="B232" s="11" t="s">
        <v>489</v>
      </c>
      <c r="C232" s="11" t="s">
        <v>490</v>
      </c>
      <c r="D232" s="12">
        <v>1002052</v>
      </c>
      <c r="E232" s="12">
        <v>2</v>
      </c>
      <c r="F232" s="12"/>
      <c r="G232" s="12">
        <v>130</v>
      </c>
      <c r="H232" s="12">
        <v>2.1</v>
      </c>
      <c r="I232" s="12"/>
      <c r="J232" s="12" t="s">
        <v>58</v>
      </c>
      <c r="K232" s="12" t="b">
        <v>1</v>
      </c>
      <c r="L232" s="12">
        <v>3</v>
      </c>
      <c r="M232" s="8">
        <v>2017</v>
      </c>
      <c r="N232" s="9">
        <v>9600000</v>
      </c>
      <c r="O232" s="13">
        <v>41717</v>
      </c>
      <c r="P232" s="13">
        <v>41717</v>
      </c>
    </row>
    <row r="233" spans="1:16">
      <c r="A233" s="10">
        <v>2014</v>
      </c>
      <c r="B233" s="11" t="s">
        <v>489</v>
      </c>
      <c r="C233" s="11" t="s">
        <v>490</v>
      </c>
      <c r="D233" s="12">
        <v>1002052</v>
      </c>
      <c r="E233" s="12">
        <v>2</v>
      </c>
      <c r="F233" s="12"/>
      <c r="G233" s="12">
        <v>410</v>
      </c>
      <c r="H233" s="12">
        <v>8</v>
      </c>
      <c r="I233" s="12"/>
      <c r="J233" s="12" t="s">
        <v>146</v>
      </c>
      <c r="K233" s="12" t="b">
        <v>1</v>
      </c>
      <c r="L233" s="12">
        <v>2</v>
      </c>
      <c r="M233" s="8">
        <v>2016</v>
      </c>
      <c r="N233" s="9">
        <v>0</v>
      </c>
      <c r="O233" s="13">
        <v>41717</v>
      </c>
      <c r="P233" s="13">
        <v>41717</v>
      </c>
    </row>
    <row r="234" spans="1:16">
      <c r="A234" s="10">
        <v>2014</v>
      </c>
      <c r="B234" s="11" t="s">
        <v>489</v>
      </c>
      <c r="C234" s="11" t="s">
        <v>490</v>
      </c>
      <c r="D234" s="12">
        <v>1002052</v>
      </c>
      <c r="E234" s="12">
        <v>2</v>
      </c>
      <c r="F234" s="12"/>
      <c r="G234" s="12">
        <v>560</v>
      </c>
      <c r="H234" s="12">
        <v>10.1</v>
      </c>
      <c r="I234" s="12"/>
      <c r="J234" s="12" t="s">
        <v>86</v>
      </c>
      <c r="K234" s="12" t="b">
        <v>0</v>
      </c>
      <c r="L234" s="12">
        <v>3</v>
      </c>
      <c r="M234" s="8">
        <v>2017</v>
      </c>
      <c r="N234" s="9">
        <v>0</v>
      </c>
      <c r="O234" s="13">
        <v>41717</v>
      </c>
      <c r="P234" s="13">
        <v>41717</v>
      </c>
    </row>
    <row r="235" spans="1:16">
      <c r="A235" s="10">
        <v>2014</v>
      </c>
      <c r="B235" s="11" t="s">
        <v>489</v>
      </c>
      <c r="C235" s="11" t="s">
        <v>490</v>
      </c>
      <c r="D235" s="12">
        <v>1002052</v>
      </c>
      <c r="E235" s="12">
        <v>2</v>
      </c>
      <c r="F235" s="12"/>
      <c r="G235" s="12">
        <v>768</v>
      </c>
      <c r="H235" s="12" t="s">
        <v>412</v>
      </c>
      <c r="I235" s="12"/>
      <c r="J235" s="12" t="s">
        <v>406</v>
      </c>
      <c r="K235" s="12" t="b">
        <v>1</v>
      </c>
      <c r="L235" s="12">
        <v>1</v>
      </c>
      <c r="M235" s="8">
        <v>2015</v>
      </c>
      <c r="N235" s="9">
        <v>0</v>
      </c>
      <c r="O235" s="13">
        <v>41717</v>
      </c>
      <c r="P235" s="13">
        <v>41717</v>
      </c>
    </row>
    <row r="236" spans="1:16">
      <c r="A236" s="10">
        <v>2014</v>
      </c>
      <c r="B236" s="11" t="s">
        <v>489</v>
      </c>
      <c r="C236" s="11" t="s">
        <v>490</v>
      </c>
      <c r="D236" s="12">
        <v>1002052</v>
      </c>
      <c r="E236" s="12">
        <v>2</v>
      </c>
      <c r="F236" s="12"/>
      <c r="G236" s="12">
        <v>650</v>
      </c>
      <c r="H236" s="12">
        <v>11.6</v>
      </c>
      <c r="I236" s="12"/>
      <c r="J236" s="12" t="s">
        <v>96</v>
      </c>
      <c r="K236" s="12" t="b">
        <v>1</v>
      </c>
      <c r="L236" s="12">
        <v>3</v>
      </c>
      <c r="M236" s="8">
        <v>2017</v>
      </c>
      <c r="N236" s="9">
        <v>0</v>
      </c>
      <c r="O236" s="13">
        <v>41717</v>
      </c>
      <c r="P236" s="13">
        <v>41717</v>
      </c>
    </row>
    <row r="237" spans="1:16">
      <c r="A237" s="10">
        <v>2014</v>
      </c>
      <c r="B237" s="11" t="s">
        <v>489</v>
      </c>
      <c r="C237" s="11" t="s">
        <v>490</v>
      </c>
      <c r="D237" s="12">
        <v>1002052</v>
      </c>
      <c r="E237" s="12">
        <v>2</v>
      </c>
      <c r="F237" s="12"/>
      <c r="G237" s="12">
        <v>630</v>
      </c>
      <c r="H237" s="12">
        <v>11.4</v>
      </c>
      <c r="I237" s="12"/>
      <c r="J237" s="12" t="s">
        <v>94</v>
      </c>
      <c r="K237" s="12" t="b">
        <v>1</v>
      </c>
      <c r="L237" s="12">
        <v>1</v>
      </c>
      <c r="M237" s="8">
        <v>2015</v>
      </c>
      <c r="N237" s="9">
        <v>784700</v>
      </c>
      <c r="O237" s="13">
        <v>41717</v>
      </c>
      <c r="P237" s="13">
        <v>41717</v>
      </c>
    </row>
    <row r="238" spans="1:16">
      <c r="A238" s="10">
        <v>2014</v>
      </c>
      <c r="B238" s="11" t="s">
        <v>489</v>
      </c>
      <c r="C238" s="11" t="s">
        <v>490</v>
      </c>
      <c r="D238" s="12">
        <v>1002052</v>
      </c>
      <c r="E238" s="12">
        <v>2</v>
      </c>
      <c r="F238" s="12"/>
      <c r="G238" s="12">
        <v>590</v>
      </c>
      <c r="H238" s="12">
        <v>11.2</v>
      </c>
      <c r="I238" s="12"/>
      <c r="J238" s="12" t="s">
        <v>89</v>
      </c>
      <c r="K238" s="12" t="b">
        <v>1</v>
      </c>
      <c r="L238" s="12">
        <v>1</v>
      </c>
      <c r="M238" s="8">
        <v>2015</v>
      </c>
      <c r="N238" s="9">
        <v>1509400</v>
      </c>
      <c r="O238" s="13">
        <v>41717</v>
      </c>
      <c r="P238" s="13">
        <v>41717</v>
      </c>
    </row>
    <row r="239" spans="1:16">
      <c r="A239" s="10">
        <v>2014</v>
      </c>
      <c r="B239" s="11" t="s">
        <v>489</v>
      </c>
      <c r="C239" s="11" t="s">
        <v>490</v>
      </c>
      <c r="D239" s="12">
        <v>1002052</v>
      </c>
      <c r="E239" s="12">
        <v>2</v>
      </c>
      <c r="F239" s="12"/>
      <c r="G239" s="12">
        <v>200</v>
      </c>
      <c r="H239" s="12">
        <v>3</v>
      </c>
      <c r="I239" s="12" t="s">
        <v>372</v>
      </c>
      <c r="J239" s="12" t="s">
        <v>21</v>
      </c>
      <c r="K239" s="12" t="b">
        <v>0</v>
      </c>
      <c r="L239" s="12">
        <v>0</v>
      </c>
      <c r="M239" s="8">
        <v>2014</v>
      </c>
      <c r="N239" s="9">
        <v>29625.19</v>
      </c>
      <c r="O239" s="13">
        <v>41717</v>
      </c>
      <c r="P239" s="13">
        <v>41717</v>
      </c>
    </row>
    <row r="240" spans="1:16">
      <c r="A240" s="10">
        <v>2014</v>
      </c>
      <c r="B240" s="11" t="s">
        <v>489</v>
      </c>
      <c r="C240" s="11" t="s">
        <v>490</v>
      </c>
      <c r="D240" s="12">
        <v>1002052</v>
      </c>
      <c r="E240" s="12">
        <v>2</v>
      </c>
      <c r="F240" s="12"/>
      <c r="G240" s="12">
        <v>767</v>
      </c>
      <c r="H240" s="12">
        <v>12.7</v>
      </c>
      <c r="I240" s="12"/>
      <c r="J240" s="12" t="s">
        <v>411</v>
      </c>
      <c r="K240" s="12" t="b">
        <v>1</v>
      </c>
      <c r="L240" s="12">
        <v>0</v>
      </c>
      <c r="M240" s="8">
        <v>2014</v>
      </c>
      <c r="N240" s="9">
        <v>0</v>
      </c>
      <c r="O240" s="13">
        <v>41717</v>
      </c>
      <c r="P240" s="13">
        <v>41717</v>
      </c>
    </row>
    <row r="241" spans="1:16">
      <c r="A241" s="10">
        <v>2014</v>
      </c>
      <c r="B241" s="11" t="s">
        <v>489</v>
      </c>
      <c r="C241" s="11" t="s">
        <v>490</v>
      </c>
      <c r="D241" s="12">
        <v>1002052</v>
      </c>
      <c r="E241" s="12">
        <v>2</v>
      </c>
      <c r="F241" s="12"/>
      <c r="G241" s="12">
        <v>300</v>
      </c>
      <c r="H241" s="12">
        <v>5</v>
      </c>
      <c r="I241" s="12" t="s">
        <v>374</v>
      </c>
      <c r="J241" s="12" t="s">
        <v>76</v>
      </c>
      <c r="K241" s="12" t="b">
        <v>0</v>
      </c>
      <c r="L241" s="12">
        <v>3</v>
      </c>
      <c r="M241" s="8">
        <v>2017</v>
      </c>
      <c r="N241" s="9">
        <v>0</v>
      </c>
      <c r="O241" s="13">
        <v>41717</v>
      </c>
      <c r="P241" s="13">
        <v>41717</v>
      </c>
    </row>
    <row r="242" spans="1:16">
      <c r="A242" s="10">
        <v>2014</v>
      </c>
      <c r="B242" s="11" t="s">
        <v>489</v>
      </c>
      <c r="C242" s="11" t="s">
        <v>490</v>
      </c>
      <c r="D242" s="12">
        <v>1002052</v>
      </c>
      <c r="E242" s="12">
        <v>2</v>
      </c>
      <c r="F242" s="12"/>
      <c r="G242" s="12">
        <v>600</v>
      </c>
      <c r="H242" s="12">
        <v>11.3</v>
      </c>
      <c r="I242" s="12" t="s">
        <v>401</v>
      </c>
      <c r="J242" s="12" t="s">
        <v>402</v>
      </c>
      <c r="K242" s="12" t="b">
        <v>1</v>
      </c>
      <c r="L242" s="12">
        <v>0</v>
      </c>
      <c r="M242" s="8">
        <v>2014</v>
      </c>
      <c r="N242" s="9">
        <v>291732.67</v>
      </c>
      <c r="O242" s="13">
        <v>41717</v>
      </c>
      <c r="P242" s="13">
        <v>41717</v>
      </c>
    </row>
    <row r="243" spans="1:16">
      <c r="A243" s="10">
        <v>2014</v>
      </c>
      <c r="B243" s="11" t="s">
        <v>489</v>
      </c>
      <c r="C243" s="11" t="s">
        <v>490</v>
      </c>
      <c r="D243" s="12">
        <v>1002052</v>
      </c>
      <c r="E243" s="12">
        <v>2</v>
      </c>
      <c r="F243" s="12"/>
      <c r="G243" s="12">
        <v>340</v>
      </c>
      <c r="H243" s="12">
        <v>5.2</v>
      </c>
      <c r="I243" s="12"/>
      <c r="J243" s="12" t="s">
        <v>80</v>
      </c>
      <c r="K243" s="12" t="b">
        <v>0</v>
      </c>
      <c r="L243" s="12">
        <v>0</v>
      </c>
      <c r="M243" s="8">
        <v>2014</v>
      </c>
      <c r="N243" s="9">
        <v>25000</v>
      </c>
      <c r="O243" s="13">
        <v>41717</v>
      </c>
      <c r="P243" s="13">
        <v>41717</v>
      </c>
    </row>
    <row r="244" spans="1:16">
      <c r="A244" s="10">
        <v>2014</v>
      </c>
      <c r="B244" s="11" t="s">
        <v>489</v>
      </c>
      <c r="C244" s="11" t="s">
        <v>490</v>
      </c>
      <c r="D244" s="12">
        <v>1002052</v>
      </c>
      <c r="E244" s="12">
        <v>2</v>
      </c>
      <c r="F244" s="12"/>
      <c r="G244" s="12">
        <v>240</v>
      </c>
      <c r="H244" s="12">
        <v>4.2</v>
      </c>
      <c r="I244" s="12"/>
      <c r="J244" s="12" t="s">
        <v>69</v>
      </c>
      <c r="K244" s="12" t="b">
        <v>0</v>
      </c>
      <c r="L244" s="12">
        <v>2</v>
      </c>
      <c r="M244" s="8">
        <v>2016</v>
      </c>
      <c r="N244" s="9">
        <v>0</v>
      </c>
      <c r="O244" s="13">
        <v>41717</v>
      </c>
      <c r="P244" s="13">
        <v>41717</v>
      </c>
    </row>
    <row r="245" spans="1:16">
      <c r="A245" s="10">
        <v>2014</v>
      </c>
      <c r="B245" s="11" t="s">
        <v>489</v>
      </c>
      <c r="C245" s="11" t="s">
        <v>490</v>
      </c>
      <c r="D245" s="12">
        <v>1002052</v>
      </c>
      <c r="E245" s="12">
        <v>2</v>
      </c>
      <c r="F245" s="12"/>
      <c r="G245" s="12">
        <v>790</v>
      </c>
      <c r="H245" s="12">
        <v>13</v>
      </c>
      <c r="I245" s="12"/>
      <c r="J245" s="12" t="s">
        <v>118</v>
      </c>
      <c r="K245" s="12" t="b">
        <v>1</v>
      </c>
      <c r="L245" s="12">
        <v>0</v>
      </c>
      <c r="M245" s="8">
        <v>2014</v>
      </c>
      <c r="N245" s="9">
        <v>0</v>
      </c>
      <c r="O245" s="13">
        <v>41717</v>
      </c>
      <c r="P245" s="13">
        <v>41717</v>
      </c>
    </row>
    <row r="246" spans="1:16">
      <c r="A246" s="10">
        <v>2014</v>
      </c>
      <c r="B246" s="11" t="s">
        <v>489</v>
      </c>
      <c r="C246" s="11" t="s">
        <v>490</v>
      </c>
      <c r="D246" s="12">
        <v>1002052</v>
      </c>
      <c r="E246" s="12">
        <v>2</v>
      </c>
      <c r="F246" s="12"/>
      <c r="G246" s="12">
        <v>140</v>
      </c>
      <c r="H246" s="12" t="s">
        <v>59</v>
      </c>
      <c r="I246" s="12"/>
      <c r="J246" s="12" t="s">
        <v>60</v>
      </c>
      <c r="K246" s="12" t="b">
        <v>1</v>
      </c>
      <c r="L246" s="12">
        <v>2</v>
      </c>
      <c r="M246" s="8">
        <v>2016</v>
      </c>
      <c r="N246" s="9">
        <v>0</v>
      </c>
      <c r="O246" s="13">
        <v>41717</v>
      </c>
      <c r="P246" s="13">
        <v>41717</v>
      </c>
    </row>
    <row r="247" spans="1:16">
      <c r="A247" s="10">
        <v>2014</v>
      </c>
      <c r="B247" s="11" t="s">
        <v>489</v>
      </c>
      <c r="C247" s="11" t="s">
        <v>490</v>
      </c>
      <c r="D247" s="12">
        <v>1002052</v>
      </c>
      <c r="E247" s="12">
        <v>2</v>
      </c>
      <c r="F247" s="12"/>
      <c r="G247" s="12">
        <v>860</v>
      </c>
      <c r="H247" s="12">
        <v>13.7</v>
      </c>
      <c r="I247" s="12"/>
      <c r="J247" s="12" t="s">
        <v>125</v>
      </c>
      <c r="K247" s="12" t="b">
        <v>1</v>
      </c>
      <c r="L247" s="12">
        <v>0</v>
      </c>
      <c r="M247" s="8">
        <v>2014</v>
      </c>
      <c r="N247" s="9">
        <v>0</v>
      </c>
      <c r="O247" s="13">
        <v>41717</v>
      </c>
      <c r="P247" s="13">
        <v>41717</v>
      </c>
    </row>
    <row r="248" spans="1:16">
      <c r="A248" s="10">
        <v>2014</v>
      </c>
      <c r="B248" s="11" t="s">
        <v>489</v>
      </c>
      <c r="C248" s="11" t="s">
        <v>490</v>
      </c>
      <c r="D248" s="12">
        <v>1002052</v>
      </c>
      <c r="E248" s="12">
        <v>2</v>
      </c>
      <c r="F248" s="12"/>
      <c r="G248" s="12">
        <v>70</v>
      </c>
      <c r="H248" s="12" t="s">
        <v>49</v>
      </c>
      <c r="I248" s="12"/>
      <c r="J248" s="12" t="s">
        <v>50</v>
      </c>
      <c r="K248" s="12" t="b">
        <v>1</v>
      </c>
      <c r="L248" s="12">
        <v>0</v>
      </c>
      <c r="M248" s="8">
        <v>2014</v>
      </c>
      <c r="N248" s="9">
        <v>3274658</v>
      </c>
      <c r="O248" s="13">
        <v>41717</v>
      </c>
      <c r="P248" s="13">
        <v>41717</v>
      </c>
    </row>
    <row r="249" spans="1:16">
      <c r="A249" s="10">
        <v>2014</v>
      </c>
      <c r="B249" s="11" t="s">
        <v>489</v>
      </c>
      <c r="C249" s="11" t="s">
        <v>490</v>
      </c>
      <c r="D249" s="12">
        <v>1002052</v>
      </c>
      <c r="E249" s="12">
        <v>2</v>
      </c>
      <c r="F249" s="12"/>
      <c r="G249" s="12">
        <v>20</v>
      </c>
      <c r="H249" s="12">
        <v>1.1000000000000001</v>
      </c>
      <c r="I249" s="12"/>
      <c r="J249" s="12" t="s">
        <v>40</v>
      </c>
      <c r="K249" s="12" t="b">
        <v>1</v>
      </c>
      <c r="L249" s="12">
        <v>0</v>
      </c>
      <c r="M249" s="8">
        <v>2014</v>
      </c>
      <c r="N249" s="9">
        <v>11708269.67</v>
      </c>
      <c r="O249" s="13">
        <v>41717</v>
      </c>
      <c r="P249" s="13">
        <v>41717</v>
      </c>
    </row>
    <row r="250" spans="1:16">
      <c r="A250" s="10">
        <v>2014</v>
      </c>
      <c r="B250" s="11" t="s">
        <v>489</v>
      </c>
      <c r="C250" s="11" t="s">
        <v>490</v>
      </c>
      <c r="D250" s="12">
        <v>1002052</v>
      </c>
      <c r="E250" s="12">
        <v>2</v>
      </c>
      <c r="F250" s="12"/>
      <c r="G250" s="12">
        <v>880</v>
      </c>
      <c r="H250" s="12">
        <v>14.1</v>
      </c>
      <c r="I250" s="12"/>
      <c r="J250" s="12" t="s">
        <v>127</v>
      </c>
      <c r="K250" s="12" t="b">
        <v>1</v>
      </c>
      <c r="L250" s="12">
        <v>1</v>
      </c>
      <c r="M250" s="8">
        <v>2015</v>
      </c>
      <c r="N250" s="9">
        <v>0</v>
      </c>
      <c r="O250" s="13">
        <v>41717</v>
      </c>
      <c r="P250" s="13">
        <v>41717</v>
      </c>
    </row>
    <row r="251" spans="1:16">
      <c r="A251" s="10">
        <v>2014</v>
      </c>
      <c r="B251" s="11" t="s">
        <v>489</v>
      </c>
      <c r="C251" s="11" t="s">
        <v>490</v>
      </c>
      <c r="D251" s="12">
        <v>1002052</v>
      </c>
      <c r="E251" s="12">
        <v>2</v>
      </c>
      <c r="F251" s="12"/>
      <c r="G251" s="12">
        <v>440</v>
      </c>
      <c r="H251" s="12">
        <v>9</v>
      </c>
      <c r="I251" s="12"/>
      <c r="J251" s="12" t="s">
        <v>149</v>
      </c>
      <c r="K251" s="12" t="b">
        <v>0</v>
      </c>
      <c r="L251" s="12">
        <v>0</v>
      </c>
      <c r="M251" s="8">
        <v>2014</v>
      </c>
      <c r="N251" s="9">
        <v>0</v>
      </c>
      <c r="O251" s="13">
        <v>41717</v>
      </c>
      <c r="P251" s="13">
        <v>41717</v>
      </c>
    </row>
    <row r="252" spans="1:16">
      <c r="A252" s="10">
        <v>2014</v>
      </c>
      <c r="B252" s="11" t="s">
        <v>489</v>
      </c>
      <c r="C252" s="11" t="s">
        <v>490</v>
      </c>
      <c r="D252" s="12">
        <v>1002052</v>
      </c>
      <c r="E252" s="12">
        <v>2</v>
      </c>
      <c r="F252" s="12"/>
      <c r="G252" s="12">
        <v>690</v>
      </c>
      <c r="H252" s="12" t="s">
        <v>101</v>
      </c>
      <c r="I252" s="12"/>
      <c r="J252" s="12" t="s">
        <v>102</v>
      </c>
      <c r="K252" s="12" t="b">
        <v>1</v>
      </c>
      <c r="L252" s="12">
        <v>2</v>
      </c>
      <c r="M252" s="8">
        <v>2016</v>
      </c>
      <c r="N252" s="9">
        <v>0</v>
      </c>
      <c r="O252" s="13">
        <v>41717</v>
      </c>
      <c r="P252" s="13">
        <v>41717</v>
      </c>
    </row>
    <row r="253" spans="1:16">
      <c r="A253" s="10">
        <v>2014</v>
      </c>
      <c r="B253" s="11" t="s">
        <v>489</v>
      </c>
      <c r="C253" s="11" t="s">
        <v>490</v>
      </c>
      <c r="D253" s="12">
        <v>1002052</v>
      </c>
      <c r="E253" s="12">
        <v>2</v>
      </c>
      <c r="F253" s="12"/>
      <c r="G253" s="12">
        <v>761</v>
      </c>
      <c r="H253" s="12" t="s">
        <v>114</v>
      </c>
      <c r="I253" s="12"/>
      <c r="J253" s="12" t="s">
        <v>115</v>
      </c>
      <c r="K253" s="12" t="b">
        <v>1</v>
      </c>
      <c r="L253" s="12">
        <v>1</v>
      </c>
      <c r="M253" s="8">
        <v>2015</v>
      </c>
      <c r="N253" s="9">
        <v>0</v>
      </c>
      <c r="O253" s="13">
        <v>41717</v>
      </c>
      <c r="P253" s="13">
        <v>41717</v>
      </c>
    </row>
    <row r="254" spans="1:16">
      <c r="A254" s="10">
        <v>2014</v>
      </c>
      <c r="B254" s="11" t="s">
        <v>489</v>
      </c>
      <c r="C254" s="11" t="s">
        <v>490</v>
      </c>
      <c r="D254" s="12">
        <v>1002052</v>
      </c>
      <c r="E254" s="12">
        <v>2</v>
      </c>
      <c r="F254" s="12"/>
      <c r="G254" s="12">
        <v>40</v>
      </c>
      <c r="H254" s="12" t="s">
        <v>43</v>
      </c>
      <c r="I254" s="12"/>
      <c r="J254" s="12" t="s">
        <v>44</v>
      </c>
      <c r="K254" s="12" t="b">
        <v>1</v>
      </c>
      <c r="L254" s="12">
        <v>3</v>
      </c>
      <c r="M254" s="8">
        <v>2017</v>
      </c>
      <c r="N254" s="9">
        <v>1000</v>
      </c>
      <c r="O254" s="13">
        <v>41717</v>
      </c>
      <c r="P254" s="13">
        <v>41717</v>
      </c>
    </row>
    <row r="255" spans="1:16">
      <c r="A255" s="10">
        <v>2014</v>
      </c>
      <c r="B255" s="11" t="s">
        <v>489</v>
      </c>
      <c r="C255" s="11" t="s">
        <v>490</v>
      </c>
      <c r="D255" s="12">
        <v>1002052</v>
      </c>
      <c r="E255" s="12">
        <v>2</v>
      </c>
      <c r="F255" s="12"/>
      <c r="G255" s="12">
        <v>820</v>
      </c>
      <c r="H255" s="12">
        <v>13.3</v>
      </c>
      <c r="I255" s="12"/>
      <c r="J255" s="12" t="s">
        <v>121</v>
      </c>
      <c r="K255" s="12" t="b">
        <v>1</v>
      </c>
      <c r="L255" s="12">
        <v>2</v>
      </c>
      <c r="M255" s="8">
        <v>2016</v>
      </c>
      <c r="N255" s="9">
        <v>0</v>
      </c>
      <c r="O255" s="13">
        <v>41717</v>
      </c>
      <c r="P255" s="13">
        <v>41717</v>
      </c>
    </row>
    <row r="256" spans="1:16">
      <c r="A256" s="10">
        <v>2014</v>
      </c>
      <c r="B256" s="11" t="s">
        <v>489</v>
      </c>
      <c r="C256" s="11" t="s">
        <v>490</v>
      </c>
      <c r="D256" s="12">
        <v>1002052</v>
      </c>
      <c r="E256" s="12">
        <v>2</v>
      </c>
      <c r="F256" s="12"/>
      <c r="G256" s="12">
        <v>761</v>
      </c>
      <c r="H256" s="12" t="s">
        <v>114</v>
      </c>
      <c r="I256" s="12"/>
      <c r="J256" s="12" t="s">
        <v>115</v>
      </c>
      <c r="K256" s="12" t="b">
        <v>1</v>
      </c>
      <c r="L256" s="12">
        <v>2</v>
      </c>
      <c r="M256" s="8">
        <v>2016</v>
      </c>
      <c r="N256" s="9">
        <v>0</v>
      </c>
      <c r="O256" s="13">
        <v>41717</v>
      </c>
      <c r="P256" s="13">
        <v>41717</v>
      </c>
    </row>
    <row r="257" spans="1:16">
      <c r="A257" s="10">
        <v>2014</v>
      </c>
      <c r="B257" s="11" t="s">
        <v>489</v>
      </c>
      <c r="C257" s="11" t="s">
        <v>490</v>
      </c>
      <c r="D257" s="12">
        <v>1002052</v>
      </c>
      <c r="E257" s="12">
        <v>2</v>
      </c>
      <c r="F257" s="12"/>
      <c r="G257" s="12">
        <v>560</v>
      </c>
      <c r="H257" s="12">
        <v>10.1</v>
      </c>
      <c r="I257" s="12"/>
      <c r="J257" s="12" t="s">
        <v>86</v>
      </c>
      <c r="K257" s="12" t="b">
        <v>0</v>
      </c>
      <c r="L257" s="12">
        <v>1</v>
      </c>
      <c r="M257" s="8">
        <v>2015</v>
      </c>
      <c r="N257" s="9">
        <v>0</v>
      </c>
      <c r="O257" s="13">
        <v>41717</v>
      </c>
      <c r="P257" s="13">
        <v>41717</v>
      </c>
    </row>
    <row r="258" spans="1:16">
      <c r="A258" s="10">
        <v>2014</v>
      </c>
      <c r="B258" s="11" t="s">
        <v>489</v>
      </c>
      <c r="C258" s="11" t="s">
        <v>490</v>
      </c>
      <c r="D258" s="12">
        <v>1002052</v>
      </c>
      <c r="E258" s="12">
        <v>2</v>
      </c>
      <c r="F258" s="12"/>
      <c r="G258" s="12">
        <v>750</v>
      </c>
      <c r="H258" s="12" t="s">
        <v>111</v>
      </c>
      <c r="I258" s="12"/>
      <c r="J258" s="12" t="s">
        <v>112</v>
      </c>
      <c r="K258" s="12" t="b">
        <v>0</v>
      </c>
      <c r="L258" s="12">
        <v>3</v>
      </c>
      <c r="M258" s="8">
        <v>2017</v>
      </c>
      <c r="N258" s="9">
        <v>0</v>
      </c>
      <c r="O258" s="13">
        <v>41717</v>
      </c>
      <c r="P258" s="13">
        <v>41717</v>
      </c>
    </row>
    <row r="259" spans="1:16">
      <c r="A259" s="10">
        <v>2014</v>
      </c>
      <c r="B259" s="11" t="s">
        <v>489</v>
      </c>
      <c r="C259" s="11" t="s">
        <v>490</v>
      </c>
      <c r="D259" s="12">
        <v>1002052</v>
      </c>
      <c r="E259" s="12">
        <v>2</v>
      </c>
      <c r="F259" s="12"/>
      <c r="G259" s="12">
        <v>970</v>
      </c>
      <c r="H259" s="12" t="s">
        <v>420</v>
      </c>
      <c r="I259" s="12"/>
      <c r="J259" s="12" t="s">
        <v>421</v>
      </c>
      <c r="K259" s="12" t="b">
        <v>1</v>
      </c>
      <c r="L259" s="12">
        <v>1</v>
      </c>
      <c r="M259" s="8">
        <v>2015</v>
      </c>
      <c r="N259" s="9">
        <v>0</v>
      </c>
      <c r="O259" s="13">
        <v>41717</v>
      </c>
      <c r="P259" s="13">
        <v>41717</v>
      </c>
    </row>
    <row r="260" spans="1:16">
      <c r="A260" s="10">
        <v>2014</v>
      </c>
      <c r="B260" s="11" t="s">
        <v>489</v>
      </c>
      <c r="C260" s="11" t="s">
        <v>490</v>
      </c>
      <c r="D260" s="12">
        <v>1002052</v>
      </c>
      <c r="E260" s="12">
        <v>2</v>
      </c>
      <c r="F260" s="12"/>
      <c r="G260" s="12">
        <v>700</v>
      </c>
      <c r="H260" s="12">
        <v>12.2</v>
      </c>
      <c r="I260" s="12"/>
      <c r="J260" s="12" t="s">
        <v>103</v>
      </c>
      <c r="K260" s="12" t="b">
        <v>0</v>
      </c>
      <c r="L260" s="12">
        <v>1</v>
      </c>
      <c r="M260" s="8">
        <v>2015</v>
      </c>
      <c r="N260" s="9">
        <v>0</v>
      </c>
      <c r="O260" s="13">
        <v>41717</v>
      </c>
      <c r="P260" s="13">
        <v>41717</v>
      </c>
    </row>
    <row r="261" spans="1:16">
      <c r="A261" s="10">
        <v>2014</v>
      </c>
      <c r="B261" s="11" t="s">
        <v>489</v>
      </c>
      <c r="C261" s="11" t="s">
        <v>490</v>
      </c>
      <c r="D261" s="12">
        <v>1002052</v>
      </c>
      <c r="E261" s="12">
        <v>2</v>
      </c>
      <c r="F261" s="12"/>
      <c r="G261" s="12">
        <v>230</v>
      </c>
      <c r="H261" s="12" t="s">
        <v>67</v>
      </c>
      <c r="I261" s="12"/>
      <c r="J261" s="12" t="s">
        <v>68</v>
      </c>
      <c r="K261" s="12" t="b">
        <v>0</v>
      </c>
      <c r="L261" s="12">
        <v>3</v>
      </c>
      <c r="M261" s="8">
        <v>2017</v>
      </c>
      <c r="N261" s="9">
        <v>0</v>
      </c>
      <c r="O261" s="13">
        <v>41717</v>
      </c>
      <c r="P261" s="13">
        <v>41717</v>
      </c>
    </row>
    <row r="262" spans="1:16">
      <c r="A262" s="10">
        <v>2014</v>
      </c>
      <c r="B262" s="11" t="s">
        <v>489</v>
      </c>
      <c r="C262" s="11" t="s">
        <v>490</v>
      </c>
      <c r="D262" s="12">
        <v>1002052</v>
      </c>
      <c r="E262" s="12">
        <v>2</v>
      </c>
      <c r="F262" s="12"/>
      <c r="G262" s="12">
        <v>900</v>
      </c>
      <c r="H262" s="12">
        <v>14.3</v>
      </c>
      <c r="I262" s="12"/>
      <c r="J262" s="12" t="s">
        <v>129</v>
      </c>
      <c r="K262" s="12" t="b">
        <v>1</v>
      </c>
      <c r="L262" s="12">
        <v>3</v>
      </c>
      <c r="M262" s="8">
        <v>2017</v>
      </c>
      <c r="N262" s="9">
        <v>0</v>
      </c>
      <c r="O262" s="13">
        <v>41717</v>
      </c>
      <c r="P262" s="13">
        <v>41717</v>
      </c>
    </row>
    <row r="263" spans="1:16">
      <c r="A263" s="10">
        <v>2014</v>
      </c>
      <c r="B263" s="11" t="s">
        <v>489</v>
      </c>
      <c r="C263" s="11" t="s">
        <v>490</v>
      </c>
      <c r="D263" s="12">
        <v>1002052</v>
      </c>
      <c r="E263" s="12">
        <v>2</v>
      </c>
      <c r="F263" s="12"/>
      <c r="G263" s="12">
        <v>160</v>
      </c>
      <c r="H263" s="12" t="s">
        <v>62</v>
      </c>
      <c r="I263" s="12"/>
      <c r="J263" s="12" t="s">
        <v>365</v>
      </c>
      <c r="K263" s="12" t="b">
        <v>1</v>
      </c>
      <c r="L263" s="12">
        <v>0</v>
      </c>
      <c r="M263" s="8">
        <v>2014</v>
      </c>
      <c r="N263" s="9">
        <v>0</v>
      </c>
      <c r="O263" s="13">
        <v>41717</v>
      </c>
      <c r="P263" s="13">
        <v>41717</v>
      </c>
    </row>
    <row r="264" spans="1:16">
      <c r="A264" s="10">
        <v>2014</v>
      </c>
      <c r="B264" s="11" t="s">
        <v>489</v>
      </c>
      <c r="C264" s="11" t="s">
        <v>490</v>
      </c>
      <c r="D264" s="12">
        <v>1002052</v>
      </c>
      <c r="E264" s="12">
        <v>2</v>
      </c>
      <c r="F264" s="12"/>
      <c r="G264" s="12">
        <v>410</v>
      </c>
      <c r="H264" s="12">
        <v>8</v>
      </c>
      <c r="I264" s="12"/>
      <c r="J264" s="12" t="s">
        <v>146</v>
      </c>
      <c r="K264" s="12" t="b">
        <v>1</v>
      </c>
      <c r="L264" s="12">
        <v>0</v>
      </c>
      <c r="M264" s="8">
        <v>2014</v>
      </c>
      <c r="N264" s="9">
        <v>0</v>
      </c>
      <c r="O264" s="13">
        <v>41717</v>
      </c>
      <c r="P264" s="13">
        <v>41717</v>
      </c>
    </row>
    <row r="265" spans="1:16">
      <c r="A265" s="10">
        <v>2014</v>
      </c>
      <c r="B265" s="11" t="s">
        <v>489</v>
      </c>
      <c r="C265" s="11" t="s">
        <v>490</v>
      </c>
      <c r="D265" s="12">
        <v>1002052</v>
      </c>
      <c r="E265" s="12">
        <v>2</v>
      </c>
      <c r="F265" s="12"/>
      <c r="G265" s="12">
        <v>170</v>
      </c>
      <c r="H265" s="12" t="s">
        <v>63</v>
      </c>
      <c r="I265" s="12"/>
      <c r="J265" s="12" t="s">
        <v>366</v>
      </c>
      <c r="K265" s="12" t="b">
        <v>1</v>
      </c>
      <c r="L265" s="12">
        <v>1</v>
      </c>
      <c r="M265" s="8">
        <v>2015</v>
      </c>
      <c r="N265" s="9">
        <v>0</v>
      </c>
      <c r="O265" s="13">
        <v>41717</v>
      </c>
      <c r="P265" s="13">
        <v>41717</v>
      </c>
    </row>
    <row r="266" spans="1:16">
      <c r="A266" s="10">
        <v>2014</v>
      </c>
      <c r="B266" s="11" t="s">
        <v>489</v>
      </c>
      <c r="C266" s="11" t="s">
        <v>490</v>
      </c>
      <c r="D266" s="12">
        <v>1002052</v>
      </c>
      <c r="E266" s="12">
        <v>2</v>
      </c>
      <c r="F266" s="12"/>
      <c r="G266" s="12">
        <v>200</v>
      </c>
      <c r="H266" s="12">
        <v>3</v>
      </c>
      <c r="I266" s="12" t="s">
        <v>372</v>
      </c>
      <c r="J266" s="12" t="s">
        <v>21</v>
      </c>
      <c r="K266" s="12" t="b">
        <v>0</v>
      </c>
      <c r="L266" s="12">
        <v>1</v>
      </c>
      <c r="M266" s="8">
        <v>2015</v>
      </c>
      <c r="N266" s="9">
        <v>0</v>
      </c>
      <c r="O266" s="13">
        <v>41717</v>
      </c>
      <c r="P266" s="13">
        <v>41717</v>
      </c>
    </row>
    <row r="267" spans="1:16">
      <c r="A267" s="10">
        <v>2014</v>
      </c>
      <c r="B267" s="11" t="s">
        <v>489</v>
      </c>
      <c r="C267" s="11" t="s">
        <v>490</v>
      </c>
      <c r="D267" s="12">
        <v>1002052</v>
      </c>
      <c r="E267" s="12">
        <v>2</v>
      </c>
      <c r="F267" s="12"/>
      <c r="G267" s="12">
        <v>190</v>
      </c>
      <c r="H267" s="12">
        <v>2.2000000000000002</v>
      </c>
      <c r="I267" s="12"/>
      <c r="J267" s="12" t="s">
        <v>65</v>
      </c>
      <c r="K267" s="12" t="b">
        <v>0</v>
      </c>
      <c r="L267" s="12">
        <v>3</v>
      </c>
      <c r="M267" s="8">
        <v>2017</v>
      </c>
      <c r="N267" s="9">
        <v>2570000</v>
      </c>
      <c r="O267" s="13">
        <v>41717</v>
      </c>
      <c r="P267" s="13">
        <v>41717</v>
      </c>
    </row>
    <row r="268" spans="1:16">
      <c r="A268" s="10">
        <v>2014</v>
      </c>
      <c r="B268" s="11" t="s">
        <v>489</v>
      </c>
      <c r="C268" s="11" t="s">
        <v>490</v>
      </c>
      <c r="D268" s="12">
        <v>1002052</v>
      </c>
      <c r="E268" s="12">
        <v>2</v>
      </c>
      <c r="F268" s="12"/>
      <c r="G268" s="12">
        <v>580</v>
      </c>
      <c r="H268" s="12">
        <v>11.1</v>
      </c>
      <c r="I268" s="12"/>
      <c r="J268" s="12" t="s">
        <v>88</v>
      </c>
      <c r="K268" s="12" t="b">
        <v>0</v>
      </c>
      <c r="L268" s="12">
        <v>1</v>
      </c>
      <c r="M268" s="8">
        <v>2015</v>
      </c>
      <c r="N268" s="9">
        <v>4271290</v>
      </c>
      <c r="O268" s="13">
        <v>41717</v>
      </c>
      <c r="P268" s="13">
        <v>41717</v>
      </c>
    </row>
    <row r="269" spans="1:16">
      <c r="A269" s="10">
        <v>2014</v>
      </c>
      <c r="B269" s="11" t="s">
        <v>489</v>
      </c>
      <c r="C269" s="11" t="s">
        <v>490</v>
      </c>
      <c r="D269" s="12">
        <v>1002052</v>
      </c>
      <c r="E269" s="12">
        <v>2</v>
      </c>
      <c r="F269" s="12"/>
      <c r="G269" s="12">
        <v>550</v>
      </c>
      <c r="H269" s="12">
        <v>10</v>
      </c>
      <c r="I269" s="12"/>
      <c r="J269" s="12" t="s">
        <v>85</v>
      </c>
      <c r="K269" s="12" t="b">
        <v>0</v>
      </c>
      <c r="L269" s="12">
        <v>1</v>
      </c>
      <c r="M269" s="8">
        <v>2015</v>
      </c>
      <c r="N269" s="9">
        <v>0</v>
      </c>
      <c r="O269" s="13">
        <v>41717</v>
      </c>
      <c r="P269" s="13">
        <v>41717</v>
      </c>
    </row>
    <row r="270" spans="1:16">
      <c r="A270" s="10">
        <v>2014</v>
      </c>
      <c r="B270" s="11" t="s">
        <v>489</v>
      </c>
      <c r="C270" s="11" t="s">
        <v>490</v>
      </c>
      <c r="D270" s="12">
        <v>1002052</v>
      </c>
      <c r="E270" s="12">
        <v>2</v>
      </c>
      <c r="F270" s="12"/>
      <c r="G270" s="12">
        <v>770</v>
      </c>
      <c r="H270" s="12" t="s">
        <v>415</v>
      </c>
      <c r="I270" s="12"/>
      <c r="J270" s="12" t="s">
        <v>406</v>
      </c>
      <c r="K270" s="12" t="b">
        <v>1</v>
      </c>
      <c r="L270" s="12">
        <v>2</v>
      </c>
      <c r="M270" s="8">
        <v>2016</v>
      </c>
      <c r="N270" s="9">
        <v>0</v>
      </c>
      <c r="O270" s="13">
        <v>41717</v>
      </c>
      <c r="P270" s="13">
        <v>41717</v>
      </c>
    </row>
    <row r="271" spans="1:16">
      <c r="A271" s="10">
        <v>2014</v>
      </c>
      <c r="B271" s="11" t="s">
        <v>489</v>
      </c>
      <c r="C271" s="11" t="s">
        <v>490</v>
      </c>
      <c r="D271" s="12">
        <v>1002052</v>
      </c>
      <c r="E271" s="12">
        <v>2</v>
      </c>
      <c r="F271" s="12"/>
      <c r="G271" s="12">
        <v>184</v>
      </c>
      <c r="H271" s="12" t="s">
        <v>370</v>
      </c>
      <c r="I271" s="12"/>
      <c r="J271" s="12" t="s">
        <v>371</v>
      </c>
      <c r="K271" s="12" t="b">
        <v>0</v>
      </c>
      <c r="L271" s="12">
        <v>1</v>
      </c>
      <c r="M271" s="8">
        <v>2015</v>
      </c>
      <c r="N271" s="9">
        <v>0</v>
      </c>
      <c r="O271" s="13">
        <v>41717</v>
      </c>
      <c r="P271" s="13">
        <v>41717</v>
      </c>
    </row>
    <row r="272" spans="1:16">
      <c r="A272" s="10">
        <v>2014</v>
      </c>
      <c r="B272" s="11" t="s">
        <v>489</v>
      </c>
      <c r="C272" s="11" t="s">
        <v>490</v>
      </c>
      <c r="D272" s="12">
        <v>1002052</v>
      </c>
      <c r="E272" s="12">
        <v>2</v>
      </c>
      <c r="F272" s="12"/>
      <c r="G272" s="12">
        <v>763</v>
      </c>
      <c r="H272" s="12">
        <v>12.5</v>
      </c>
      <c r="I272" s="12"/>
      <c r="J272" s="12" t="s">
        <v>404</v>
      </c>
      <c r="K272" s="12" t="b">
        <v>1</v>
      </c>
      <c r="L272" s="12">
        <v>1</v>
      </c>
      <c r="M272" s="8">
        <v>2015</v>
      </c>
      <c r="N272" s="9">
        <v>0</v>
      </c>
      <c r="O272" s="13">
        <v>41717</v>
      </c>
      <c r="P272" s="13">
        <v>41717</v>
      </c>
    </row>
    <row r="273" spans="1:16">
      <c r="A273" s="10">
        <v>2014</v>
      </c>
      <c r="B273" s="11" t="s">
        <v>489</v>
      </c>
      <c r="C273" s="11" t="s">
        <v>490</v>
      </c>
      <c r="D273" s="12">
        <v>1002052</v>
      </c>
      <c r="E273" s="12">
        <v>2</v>
      </c>
      <c r="F273" s="12"/>
      <c r="G273" s="12">
        <v>400</v>
      </c>
      <c r="H273" s="12">
        <v>7</v>
      </c>
      <c r="I273" s="12"/>
      <c r="J273" s="12" t="s">
        <v>81</v>
      </c>
      <c r="K273" s="12" t="b">
        <v>1</v>
      </c>
      <c r="L273" s="12">
        <v>0</v>
      </c>
      <c r="M273" s="8">
        <v>2014</v>
      </c>
      <c r="N273" s="9">
        <v>0</v>
      </c>
      <c r="O273" s="13">
        <v>41717</v>
      </c>
      <c r="P273" s="13">
        <v>41717</v>
      </c>
    </row>
    <row r="274" spans="1:16">
      <c r="A274" s="10">
        <v>2014</v>
      </c>
      <c r="B274" s="11" t="s">
        <v>489</v>
      </c>
      <c r="C274" s="11" t="s">
        <v>490</v>
      </c>
      <c r="D274" s="12">
        <v>1002052</v>
      </c>
      <c r="E274" s="12">
        <v>2</v>
      </c>
      <c r="F274" s="12"/>
      <c r="G274" s="12">
        <v>184</v>
      </c>
      <c r="H274" s="12" t="s">
        <v>370</v>
      </c>
      <c r="I274" s="12"/>
      <c r="J274" s="12" t="s">
        <v>371</v>
      </c>
      <c r="K274" s="12" t="b">
        <v>0</v>
      </c>
      <c r="L274" s="12">
        <v>2</v>
      </c>
      <c r="M274" s="8">
        <v>2016</v>
      </c>
      <c r="N274" s="9">
        <v>0</v>
      </c>
      <c r="O274" s="13">
        <v>41717</v>
      </c>
      <c r="P274" s="13">
        <v>41717</v>
      </c>
    </row>
    <row r="275" spans="1:16">
      <c r="A275" s="10">
        <v>2014</v>
      </c>
      <c r="B275" s="11" t="s">
        <v>489</v>
      </c>
      <c r="C275" s="11" t="s">
        <v>490</v>
      </c>
      <c r="D275" s="12">
        <v>1002052</v>
      </c>
      <c r="E275" s="12">
        <v>2</v>
      </c>
      <c r="F275" s="12"/>
      <c r="G275" s="12">
        <v>508</v>
      </c>
      <c r="H275" s="12">
        <v>9.5</v>
      </c>
      <c r="I275" s="12" t="s">
        <v>392</v>
      </c>
      <c r="J275" s="12" t="s">
        <v>393</v>
      </c>
      <c r="K275" s="12" t="b">
        <v>0</v>
      </c>
      <c r="L275" s="12">
        <v>0</v>
      </c>
      <c r="M275" s="8">
        <v>2014</v>
      </c>
      <c r="N275" s="9">
        <v>0.182</v>
      </c>
      <c r="O275" s="13">
        <v>41717</v>
      </c>
      <c r="P275" s="13">
        <v>41717</v>
      </c>
    </row>
    <row r="276" spans="1:16">
      <c r="A276" s="10">
        <v>2014</v>
      </c>
      <c r="B276" s="11" t="s">
        <v>489</v>
      </c>
      <c r="C276" s="11" t="s">
        <v>490</v>
      </c>
      <c r="D276" s="12">
        <v>1002052</v>
      </c>
      <c r="E276" s="12">
        <v>2</v>
      </c>
      <c r="F276" s="12"/>
      <c r="G276" s="12">
        <v>830</v>
      </c>
      <c r="H276" s="12">
        <v>13.4</v>
      </c>
      <c r="I276" s="12"/>
      <c r="J276" s="12" t="s">
        <v>122</v>
      </c>
      <c r="K276" s="12" t="b">
        <v>1</v>
      </c>
      <c r="L276" s="12">
        <v>1</v>
      </c>
      <c r="M276" s="8">
        <v>2015</v>
      </c>
      <c r="N276" s="9">
        <v>0</v>
      </c>
      <c r="O276" s="13">
        <v>41717</v>
      </c>
      <c r="P276" s="13">
        <v>41717</v>
      </c>
    </row>
    <row r="277" spans="1:16">
      <c r="A277" s="10">
        <v>2014</v>
      </c>
      <c r="B277" s="11" t="s">
        <v>489</v>
      </c>
      <c r="C277" s="11" t="s">
        <v>490</v>
      </c>
      <c r="D277" s="12">
        <v>1002052</v>
      </c>
      <c r="E277" s="12">
        <v>2</v>
      </c>
      <c r="F277" s="12"/>
      <c r="G277" s="12">
        <v>332</v>
      </c>
      <c r="H277" s="12" t="s">
        <v>79</v>
      </c>
      <c r="I277" s="12"/>
      <c r="J277" s="12" t="s">
        <v>377</v>
      </c>
      <c r="K277" s="12" t="b">
        <v>1</v>
      </c>
      <c r="L277" s="12">
        <v>0</v>
      </c>
      <c r="M277" s="8">
        <v>2014</v>
      </c>
      <c r="N277" s="9">
        <v>0</v>
      </c>
      <c r="O277" s="13">
        <v>41717</v>
      </c>
      <c r="P277" s="13">
        <v>41717</v>
      </c>
    </row>
    <row r="278" spans="1:16">
      <c r="A278" s="10">
        <v>2014</v>
      </c>
      <c r="B278" s="11" t="s">
        <v>489</v>
      </c>
      <c r="C278" s="11" t="s">
        <v>490</v>
      </c>
      <c r="D278" s="12">
        <v>1002052</v>
      </c>
      <c r="E278" s="12">
        <v>2</v>
      </c>
      <c r="F278" s="12"/>
      <c r="G278" s="12">
        <v>767</v>
      </c>
      <c r="H278" s="12">
        <v>12.7</v>
      </c>
      <c r="I278" s="12"/>
      <c r="J278" s="12" t="s">
        <v>411</v>
      </c>
      <c r="K278" s="12" t="b">
        <v>1</v>
      </c>
      <c r="L278" s="12">
        <v>3</v>
      </c>
      <c r="M278" s="8">
        <v>2017</v>
      </c>
      <c r="N278" s="9">
        <v>0</v>
      </c>
      <c r="O278" s="13">
        <v>41717</v>
      </c>
      <c r="P278" s="13">
        <v>41717</v>
      </c>
    </row>
    <row r="279" spans="1:16">
      <c r="A279" s="10">
        <v>2014</v>
      </c>
      <c r="B279" s="11" t="s">
        <v>489</v>
      </c>
      <c r="C279" s="11" t="s">
        <v>490</v>
      </c>
      <c r="D279" s="12">
        <v>1002052</v>
      </c>
      <c r="E279" s="12">
        <v>2</v>
      </c>
      <c r="F279" s="12"/>
      <c r="G279" s="12">
        <v>120</v>
      </c>
      <c r="H279" s="12">
        <v>2</v>
      </c>
      <c r="I279" s="12" t="s">
        <v>491</v>
      </c>
      <c r="J279" s="12" t="s">
        <v>19</v>
      </c>
      <c r="K279" s="12" t="b">
        <v>0</v>
      </c>
      <c r="L279" s="12">
        <v>1</v>
      </c>
      <c r="M279" s="8">
        <v>2015</v>
      </c>
      <c r="N279" s="9">
        <v>10825000</v>
      </c>
      <c r="O279" s="13">
        <v>41717</v>
      </c>
      <c r="P279" s="13">
        <v>41717</v>
      </c>
    </row>
    <row r="280" spans="1:16">
      <c r="A280" s="10">
        <v>2014</v>
      </c>
      <c r="B280" s="11" t="s">
        <v>489</v>
      </c>
      <c r="C280" s="11" t="s">
        <v>490</v>
      </c>
      <c r="D280" s="12">
        <v>1002052</v>
      </c>
      <c r="E280" s="12">
        <v>2</v>
      </c>
      <c r="F280" s="12"/>
      <c r="G280" s="12">
        <v>820</v>
      </c>
      <c r="H280" s="12">
        <v>13.3</v>
      </c>
      <c r="I280" s="12"/>
      <c r="J280" s="12" t="s">
        <v>121</v>
      </c>
      <c r="K280" s="12" t="b">
        <v>1</v>
      </c>
      <c r="L280" s="12">
        <v>0</v>
      </c>
      <c r="M280" s="8">
        <v>2014</v>
      </c>
      <c r="N280" s="9">
        <v>0</v>
      </c>
      <c r="O280" s="13">
        <v>41717</v>
      </c>
      <c r="P280" s="13">
        <v>41717</v>
      </c>
    </row>
    <row r="281" spans="1:16">
      <c r="A281" s="10">
        <v>2014</v>
      </c>
      <c r="B281" s="11" t="s">
        <v>489</v>
      </c>
      <c r="C281" s="11" t="s">
        <v>490</v>
      </c>
      <c r="D281" s="12">
        <v>1002052</v>
      </c>
      <c r="E281" s="12">
        <v>2</v>
      </c>
      <c r="F281" s="12"/>
      <c r="G281" s="12">
        <v>400</v>
      </c>
      <c r="H281" s="12">
        <v>7</v>
      </c>
      <c r="I281" s="12"/>
      <c r="J281" s="12" t="s">
        <v>81</v>
      </c>
      <c r="K281" s="12" t="b">
        <v>1</v>
      </c>
      <c r="L281" s="12">
        <v>3</v>
      </c>
      <c r="M281" s="8">
        <v>2017</v>
      </c>
      <c r="N281" s="9">
        <v>0</v>
      </c>
      <c r="O281" s="13">
        <v>41717</v>
      </c>
      <c r="P281" s="13">
        <v>41717</v>
      </c>
    </row>
    <row r="282" spans="1:16">
      <c r="A282" s="10">
        <v>2014</v>
      </c>
      <c r="B282" s="11" t="s">
        <v>489</v>
      </c>
      <c r="C282" s="11" t="s">
        <v>490</v>
      </c>
      <c r="D282" s="12">
        <v>1002052</v>
      </c>
      <c r="E282" s="12">
        <v>2</v>
      </c>
      <c r="F282" s="12"/>
      <c r="G282" s="12">
        <v>766</v>
      </c>
      <c r="H282" s="12" t="s">
        <v>409</v>
      </c>
      <c r="I282" s="12"/>
      <c r="J282" s="12" t="s">
        <v>406</v>
      </c>
      <c r="K282" s="12" t="b">
        <v>1</v>
      </c>
      <c r="L282" s="12">
        <v>0</v>
      </c>
      <c r="M282" s="8">
        <v>2014</v>
      </c>
      <c r="N282" s="9">
        <v>0</v>
      </c>
      <c r="O282" s="13">
        <v>41717</v>
      </c>
      <c r="P282" s="13">
        <v>41717</v>
      </c>
    </row>
    <row r="283" spans="1:16">
      <c r="A283" s="10">
        <v>2014</v>
      </c>
      <c r="B283" s="11" t="s">
        <v>489</v>
      </c>
      <c r="C283" s="11" t="s">
        <v>490</v>
      </c>
      <c r="D283" s="12">
        <v>1002052</v>
      </c>
      <c r="E283" s="12">
        <v>2</v>
      </c>
      <c r="F283" s="12"/>
      <c r="G283" s="12">
        <v>766</v>
      </c>
      <c r="H283" s="12" t="s">
        <v>409</v>
      </c>
      <c r="I283" s="12"/>
      <c r="J283" s="12" t="s">
        <v>406</v>
      </c>
      <c r="K283" s="12" t="b">
        <v>1</v>
      </c>
      <c r="L283" s="12">
        <v>2</v>
      </c>
      <c r="M283" s="8">
        <v>2016</v>
      </c>
      <c r="N283" s="9">
        <v>0</v>
      </c>
      <c r="O283" s="13">
        <v>41717</v>
      </c>
      <c r="P283" s="13">
        <v>41717</v>
      </c>
    </row>
    <row r="284" spans="1:16">
      <c r="A284" s="10">
        <v>2014</v>
      </c>
      <c r="B284" s="11" t="s">
        <v>489</v>
      </c>
      <c r="C284" s="11" t="s">
        <v>490</v>
      </c>
      <c r="D284" s="12">
        <v>1002052</v>
      </c>
      <c r="E284" s="12">
        <v>2</v>
      </c>
      <c r="F284" s="12"/>
      <c r="G284" s="12">
        <v>650</v>
      </c>
      <c r="H284" s="12">
        <v>11.6</v>
      </c>
      <c r="I284" s="12"/>
      <c r="J284" s="12" t="s">
        <v>96</v>
      </c>
      <c r="K284" s="12" t="b">
        <v>1</v>
      </c>
      <c r="L284" s="12">
        <v>1</v>
      </c>
      <c r="M284" s="8">
        <v>2015</v>
      </c>
      <c r="N284" s="9">
        <v>0</v>
      </c>
      <c r="O284" s="13">
        <v>41717</v>
      </c>
      <c r="P284" s="13">
        <v>41717</v>
      </c>
    </row>
    <row r="285" spans="1:16">
      <c r="A285" s="10">
        <v>2014</v>
      </c>
      <c r="B285" s="11" t="s">
        <v>489</v>
      </c>
      <c r="C285" s="11" t="s">
        <v>490</v>
      </c>
      <c r="D285" s="12">
        <v>1002052</v>
      </c>
      <c r="E285" s="12">
        <v>2</v>
      </c>
      <c r="F285" s="12"/>
      <c r="G285" s="12">
        <v>570</v>
      </c>
      <c r="H285" s="12">
        <v>11</v>
      </c>
      <c r="I285" s="12"/>
      <c r="J285" s="12" t="s">
        <v>87</v>
      </c>
      <c r="K285" s="12" t="b">
        <v>0</v>
      </c>
      <c r="L285" s="12">
        <v>2</v>
      </c>
      <c r="M285" s="8">
        <v>2016</v>
      </c>
      <c r="N285" s="9">
        <v>0</v>
      </c>
      <c r="O285" s="13">
        <v>41717</v>
      </c>
      <c r="P285" s="13">
        <v>41717</v>
      </c>
    </row>
    <row r="286" spans="1:16">
      <c r="A286" s="10">
        <v>2014</v>
      </c>
      <c r="B286" s="11" t="s">
        <v>489</v>
      </c>
      <c r="C286" s="11" t="s">
        <v>490</v>
      </c>
      <c r="D286" s="12">
        <v>1002052</v>
      </c>
      <c r="E286" s="12">
        <v>2</v>
      </c>
      <c r="F286" s="12"/>
      <c r="G286" s="12">
        <v>240</v>
      </c>
      <c r="H286" s="12">
        <v>4.2</v>
      </c>
      <c r="I286" s="12"/>
      <c r="J286" s="12" t="s">
        <v>69</v>
      </c>
      <c r="K286" s="12" t="b">
        <v>0</v>
      </c>
      <c r="L286" s="12">
        <v>1</v>
      </c>
      <c r="M286" s="8">
        <v>2015</v>
      </c>
      <c r="N286" s="9">
        <v>0</v>
      </c>
      <c r="O286" s="13">
        <v>41717</v>
      </c>
      <c r="P286" s="13">
        <v>41717</v>
      </c>
    </row>
    <row r="287" spans="1:16">
      <c r="A287" s="10">
        <v>2014</v>
      </c>
      <c r="B287" s="11" t="s">
        <v>489</v>
      </c>
      <c r="C287" s="11" t="s">
        <v>490</v>
      </c>
      <c r="D287" s="12">
        <v>1002052</v>
      </c>
      <c r="E287" s="12">
        <v>2</v>
      </c>
      <c r="F287" s="12"/>
      <c r="G287" s="12">
        <v>60</v>
      </c>
      <c r="H287" s="12" t="s">
        <v>47</v>
      </c>
      <c r="I287" s="12"/>
      <c r="J287" s="12" t="s">
        <v>48</v>
      </c>
      <c r="K287" s="12" t="b">
        <v>1</v>
      </c>
      <c r="L287" s="12">
        <v>3</v>
      </c>
      <c r="M287" s="8">
        <v>2017</v>
      </c>
      <c r="N287" s="9">
        <v>2839000</v>
      </c>
      <c r="O287" s="13">
        <v>41717</v>
      </c>
      <c r="P287" s="13">
        <v>41717</v>
      </c>
    </row>
    <row r="288" spans="1:16">
      <c r="A288" s="10">
        <v>2014</v>
      </c>
      <c r="B288" s="11" t="s">
        <v>489</v>
      </c>
      <c r="C288" s="11" t="s">
        <v>490</v>
      </c>
      <c r="D288" s="12">
        <v>1002052</v>
      </c>
      <c r="E288" s="12">
        <v>2</v>
      </c>
      <c r="F288" s="12"/>
      <c r="G288" s="12">
        <v>768</v>
      </c>
      <c r="H288" s="12" t="s">
        <v>412</v>
      </c>
      <c r="I288" s="12"/>
      <c r="J288" s="12" t="s">
        <v>406</v>
      </c>
      <c r="K288" s="12" t="b">
        <v>1</v>
      </c>
      <c r="L288" s="12">
        <v>3</v>
      </c>
      <c r="M288" s="8">
        <v>2017</v>
      </c>
      <c r="N288" s="9">
        <v>0</v>
      </c>
      <c r="O288" s="13">
        <v>41717</v>
      </c>
      <c r="P288" s="13">
        <v>41717</v>
      </c>
    </row>
    <row r="289" spans="1:16">
      <c r="A289" s="10">
        <v>2014</v>
      </c>
      <c r="B289" s="11" t="s">
        <v>489</v>
      </c>
      <c r="C289" s="11" t="s">
        <v>490</v>
      </c>
      <c r="D289" s="12">
        <v>1002052</v>
      </c>
      <c r="E289" s="12">
        <v>2</v>
      </c>
      <c r="F289" s="12"/>
      <c r="G289" s="12">
        <v>800</v>
      </c>
      <c r="H289" s="12">
        <v>13.1</v>
      </c>
      <c r="I289" s="12"/>
      <c r="J289" s="12" t="s">
        <v>119</v>
      </c>
      <c r="K289" s="12" t="b">
        <v>1</v>
      </c>
      <c r="L289" s="12">
        <v>2</v>
      </c>
      <c r="M289" s="8">
        <v>2016</v>
      </c>
      <c r="N289" s="9">
        <v>0</v>
      </c>
      <c r="O289" s="13">
        <v>41717</v>
      </c>
      <c r="P289" s="13">
        <v>41717</v>
      </c>
    </row>
    <row r="290" spans="1:16">
      <c r="A290" s="10">
        <v>2014</v>
      </c>
      <c r="B290" s="11" t="s">
        <v>489</v>
      </c>
      <c r="C290" s="11" t="s">
        <v>490</v>
      </c>
      <c r="D290" s="12">
        <v>1002052</v>
      </c>
      <c r="E290" s="12">
        <v>2</v>
      </c>
      <c r="F290" s="12"/>
      <c r="G290" s="12">
        <v>230</v>
      </c>
      <c r="H290" s="12" t="s">
        <v>67</v>
      </c>
      <c r="I290" s="12"/>
      <c r="J290" s="12" t="s">
        <v>68</v>
      </c>
      <c r="K290" s="12" t="b">
        <v>0</v>
      </c>
      <c r="L290" s="12">
        <v>2</v>
      </c>
      <c r="M290" s="8">
        <v>2016</v>
      </c>
      <c r="N290" s="9">
        <v>0</v>
      </c>
      <c r="O290" s="13">
        <v>41717</v>
      </c>
      <c r="P290" s="13">
        <v>41717</v>
      </c>
    </row>
    <row r="291" spans="1:16">
      <c r="A291" s="10">
        <v>2014</v>
      </c>
      <c r="B291" s="11" t="s">
        <v>489</v>
      </c>
      <c r="C291" s="11" t="s">
        <v>490</v>
      </c>
      <c r="D291" s="12">
        <v>1002052</v>
      </c>
      <c r="E291" s="12">
        <v>2</v>
      </c>
      <c r="F291" s="12"/>
      <c r="G291" s="12">
        <v>490</v>
      </c>
      <c r="H291" s="12">
        <v>9.3000000000000007</v>
      </c>
      <c r="I291" s="12"/>
      <c r="J291" s="12" t="s">
        <v>389</v>
      </c>
      <c r="K291" s="12" t="b">
        <v>1</v>
      </c>
      <c r="L291" s="12">
        <v>2</v>
      </c>
      <c r="M291" s="8">
        <v>2016</v>
      </c>
      <c r="N291" s="9">
        <v>0</v>
      </c>
      <c r="O291" s="13">
        <v>41717</v>
      </c>
      <c r="P291" s="13">
        <v>41717</v>
      </c>
    </row>
    <row r="292" spans="1:16">
      <c r="A292" s="10">
        <v>2014</v>
      </c>
      <c r="B292" s="11" t="s">
        <v>489</v>
      </c>
      <c r="C292" s="11" t="s">
        <v>490</v>
      </c>
      <c r="D292" s="12">
        <v>1002052</v>
      </c>
      <c r="E292" s="12">
        <v>2</v>
      </c>
      <c r="F292" s="12"/>
      <c r="G292" s="12">
        <v>100</v>
      </c>
      <c r="H292" s="12" t="s">
        <v>54</v>
      </c>
      <c r="I292" s="12"/>
      <c r="J292" s="12" t="s">
        <v>55</v>
      </c>
      <c r="K292" s="12" t="b">
        <v>1</v>
      </c>
      <c r="L292" s="12">
        <v>1</v>
      </c>
      <c r="M292" s="8">
        <v>2015</v>
      </c>
      <c r="N292" s="9">
        <v>0</v>
      </c>
      <c r="O292" s="13">
        <v>41717</v>
      </c>
      <c r="P292" s="13">
        <v>41717</v>
      </c>
    </row>
    <row r="293" spans="1:16">
      <c r="A293" s="10">
        <v>2014</v>
      </c>
      <c r="B293" s="11" t="s">
        <v>489</v>
      </c>
      <c r="C293" s="11" t="s">
        <v>490</v>
      </c>
      <c r="D293" s="12">
        <v>1002052</v>
      </c>
      <c r="E293" s="12">
        <v>2</v>
      </c>
      <c r="F293" s="12"/>
      <c r="G293" s="12">
        <v>580</v>
      </c>
      <c r="H293" s="12">
        <v>11.1</v>
      </c>
      <c r="I293" s="12"/>
      <c r="J293" s="12" t="s">
        <v>88</v>
      </c>
      <c r="K293" s="12" t="b">
        <v>0</v>
      </c>
      <c r="L293" s="12">
        <v>3</v>
      </c>
      <c r="M293" s="8">
        <v>2017</v>
      </c>
      <c r="N293" s="9">
        <v>4487450</v>
      </c>
      <c r="O293" s="13">
        <v>41717</v>
      </c>
      <c r="P293" s="13">
        <v>41717</v>
      </c>
    </row>
    <row r="294" spans="1:16">
      <c r="A294" s="10">
        <v>2014</v>
      </c>
      <c r="B294" s="11" t="s">
        <v>489</v>
      </c>
      <c r="C294" s="11" t="s">
        <v>490</v>
      </c>
      <c r="D294" s="12">
        <v>1002052</v>
      </c>
      <c r="E294" s="12">
        <v>2</v>
      </c>
      <c r="F294" s="12"/>
      <c r="G294" s="12">
        <v>50</v>
      </c>
      <c r="H294" s="12" t="s">
        <v>45</v>
      </c>
      <c r="I294" s="12"/>
      <c r="J294" s="12" t="s">
        <v>46</v>
      </c>
      <c r="K294" s="12" t="b">
        <v>1</v>
      </c>
      <c r="L294" s="12">
        <v>3</v>
      </c>
      <c r="M294" s="8">
        <v>2017</v>
      </c>
      <c r="N294" s="9">
        <v>5410000</v>
      </c>
      <c r="O294" s="13">
        <v>41717</v>
      </c>
      <c r="P294" s="13">
        <v>41717</v>
      </c>
    </row>
    <row r="295" spans="1:16">
      <c r="A295" s="10">
        <v>2014</v>
      </c>
      <c r="B295" s="11" t="s">
        <v>489</v>
      </c>
      <c r="C295" s="11" t="s">
        <v>490</v>
      </c>
      <c r="D295" s="12">
        <v>1002052</v>
      </c>
      <c r="E295" s="12">
        <v>2</v>
      </c>
      <c r="F295" s="12"/>
      <c r="G295" s="12">
        <v>470</v>
      </c>
      <c r="H295" s="12">
        <v>9.1</v>
      </c>
      <c r="I295" s="12" t="s">
        <v>385</v>
      </c>
      <c r="J295" s="12" t="s">
        <v>386</v>
      </c>
      <c r="K295" s="12" t="b">
        <v>1</v>
      </c>
      <c r="L295" s="12">
        <v>1</v>
      </c>
      <c r="M295" s="8">
        <v>2015</v>
      </c>
      <c r="N295" s="9">
        <v>0</v>
      </c>
      <c r="O295" s="13">
        <v>41717</v>
      </c>
      <c r="P295" s="13">
        <v>41717</v>
      </c>
    </row>
    <row r="296" spans="1:16">
      <c r="A296" s="10">
        <v>2014</v>
      </c>
      <c r="B296" s="11" t="s">
        <v>489</v>
      </c>
      <c r="C296" s="11" t="s">
        <v>490</v>
      </c>
      <c r="D296" s="12">
        <v>1002052</v>
      </c>
      <c r="E296" s="12">
        <v>2</v>
      </c>
      <c r="F296" s="12"/>
      <c r="G296" s="12">
        <v>120</v>
      </c>
      <c r="H296" s="12">
        <v>2</v>
      </c>
      <c r="I296" s="12" t="s">
        <v>491</v>
      </c>
      <c r="J296" s="12" t="s">
        <v>19</v>
      </c>
      <c r="K296" s="12" t="b">
        <v>0</v>
      </c>
      <c r="L296" s="12">
        <v>2</v>
      </c>
      <c r="M296" s="8">
        <v>2016</v>
      </c>
      <c r="N296" s="9">
        <v>12050000</v>
      </c>
      <c r="O296" s="13">
        <v>41717</v>
      </c>
      <c r="P296" s="13">
        <v>41717</v>
      </c>
    </row>
    <row r="297" spans="1:16">
      <c r="A297" s="10">
        <v>2014</v>
      </c>
      <c r="B297" s="11" t="s">
        <v>489</v>
      </c>
      <c r="C297" s="11" t="s">
        <v>490</v>
      </c>
      <c r="D297" s="12">
        <v>1002052</v>
      </c>
      <c r="E297" s="12">
        <v>2</v>
      </c>
      <c r="F297" s="12"/>
      <c r="G297" s="12">
        <v>830</v>
      </c>
      <c r="H297" s="12">
        <v>13.4</v>
      </c>
      <c r="I297" s="12"/>
      <c r="J297" s="12" t="s">
        <v>122</v>
      </c>
      <c r="K297" s="12" t="b">
        <v>1</v>
      </c>
      <c r="L297" s="12">
        <v>2</v>
      </c>
      <c r="M297" s="8">
        <v>2016</v>
      </c>
      <c r="N297" s="9">
        <v>0</v>
      </c>
      <c r="O297" s="13">
        <v>41717</v>
      </c>
      <c r="P297" s="13">
        <v>41717</v>
      </c>
    </row>
    <row r="298" spans="1:16">
      <c r="A298" s="10">
        <v>2014</v>
      </c>
      <c r="B298" s="11" t="s">
        <v>489</v>
      </c>
      <c r="C298" s="11" t="s">
        <v>490</v>
      </c>
      <c r="D298" s="12">
        <v>1002052</v>
      </c>
      <c r="E298" s="12">
        <v>2</v>
      </c>
      <c r="F298" s="12"/>
      <c r="G298" s="12">
        <v>190</v>
      </c>
      <c r="H298" s="12">
        <v>2.2000000000000002</v>
      </c>
      <c r="I298" s="12"/>
      <c r="J298" s="12" t="s">
        <v>65</v>
      </c>
      <c r="K298" s="12" t="b">
        <v>0</v>
      </c>
      <c r="L298" s="12">
        <v>0</v>
      </c>
      <c r="M298" s="8">
        <v>2014</v>
      </c>
      <c r="N298" s="9">
        <v>4714500</v>
      </c>
      <c r="O298" s="13">
        <v>41717</v>
      </c>
      <c r="P298" s="13">
        <v>41717</v>
      </c>
    </row>
    <row r="299" spans="1:16">
      <c r="A299" s="10">
        <v>2014</v>
      </c>
      <c r="B299" s="11" t="s">
        <v>489</v>
      </c>
      <c r="C299" s="11" t="s">
        <v>490</v>
      </c>
      <c r="D299" s="12">
        <v>1002052</v>
      </c>
      <c r="E299" s="12">
        <v>2</v>
      </c>
      <c r="F299" s="12"/>
      <c r="G299" s="12">
        <v>182</v>
      </c>
      <c r="H299" s="12" t="s">
        <v>368</v>
      </c>
      <c r="I299" s="12"/>
      <c r="J299" s="12" t="s">
        <v>369</v>
      </c>
      <c r="K299" s="12" t="b">
        <v>0</v>
      </c>
      <c r="L299" s="12">
        <v>0</v>
      </c>
      <c r="M299" s="8">
        <v>2014</v>
      </c>
      <c r="N299" s="9">
        <v>0</v>
      </c>
      <c r="O299" s="13">
        <v>41717</v>
      </c>
      <c r="P299" s="13">
        <v>41717</v>
      </c>
    </row>
    <row r="300" spans="1:16">
      <c r="A300" s="10">
        <v>2014</v>
      </c>
      <c r="B300" s="11" t="s">
        <v>489</v>
      </c>
      <c r="C300" s="11" t="s">
        <v>490</v>
      </c>
      <c r="D300" s="12">
        <v>1002052</v>
      </c>
      <c r="E300" s="12">
        <v>2</v>
      </c>
      <c r="F300" s="12"/>
      <c r="G300" s="12">
        <v>850</v>
      </c>
      <c r="H300" s="12">
        <v>13.6</v>
      </c>
      <c r="I300" s="12"/>
      <c r="J300" s="12" t="s">
        <v>124</v>
      </c>
      <c r="K300" s="12" t="b">
        <v>1</v>
      </c>
      <c r="L300" s="12">
        <v>0</v>
      </c>
      <c r="M300" s="8">
        <v>2014</v>
      </c>
      <c r="N300" s="9">
        <v>0</v>
      </c>
      <c r="O300" s="13">
        <v>41717</v>
      </c>
      <c r="P300" s="13">
        <v>41717</v>
      </c>
    </row>
    <row r="301" spans="1:16">
      <c r="A301" s="10">
        <v>2014</v>
      </c>
      <c r="B301" s="11" t="s">
        <v>489</v>
      </c>
      <c r="C301" s="11" t="s">
        <v>490</v>
      </c>
      <c r="D301" s="12">
        <v>1002052</v>
      </c>
      <c r="E301" s="12">
        <v>2</v>
      </c>
      <c r="F301" s="12"/>
      <c r="G301" s="12">
        <v>620</v>
      </c>
      <c r="H301" s="12" t="s">
        <v>92</v>
      </c>
      <c r="I301" s="12"/>
      <c r="J301" s="12" t="s">
        <v>93</v>
      </c>
      <c r="K301" s="12" t="b">
        <v>1</v>
      </c>
      <c r="L301" s="12">
        <v>3</v>
      </c>
      <c r="M301" s="8">
        <v>2017</v>
      </c>
      <c r="N301" s="9">
        <v>0</v>
      </c>
      <c r="O301" s="13">
        <v>41717</v>
      </c>
      <c r="P301" s="13">
        <v>41717</v>
      </c>
    </row>
    <row r="302" spans="1:16">
      <c r="A302" s="10">
        <v>2014</v>
      </c>
      <c r="B302" s="11" t="s">
        <v>489</v>
      </c>
      <c r="C302" s="11" t="s">
        <v>490</v>
      </c>
      <c r="D302" s="12">
        <v>1002052</v>
      </c>
      <c r="E302" s="12">
        <v>2</v>
      </c>
      <c r="F302" s="12"/>
      <c r="G302" s="12">
        <v>220</v>
      </c>
      <c r="H302" s="12">
        <v>4.0999999999999996</v>
      </c>
      <c r="I302" s="12"/>
      <c r="J302" s="12" t="s">
        <v>66</v>
      </c>
      <c r="K302" s="12" t="b">
        <v>0</v>
      </c>
      <c r="L302" s="12">
        <v>2</v>
      </c>
      <c r="M302" s="8">
        <v>2016</v>
      </c>
      <c r="N302" s="9">
        <v>0</v>
      </c>
      <c r="O302" s="13">
        <v>41717</v>
      </c>
      <c r="P302" s="13">
        <v>41717</v>
      </c>
    </row>
    <row r="303" spans="1:16">
      <c r="A303" s="10">
        <v>2014</v>
      </c>
      <c r="B303" s="11" t="s">
        <v>489</v>
      </c>
      <c r="C303" s="11" t="s">
        <v>490</v>
      </c>
      <c r="D303" s="12">
        <v>1002052</v>
      </c>
      <c r="E303" s="12">
        <v>2</v>
      </c>
      <c r="F303" s="12"/>
      <c r="G303" s="12">
        <v>940</v>
      </c>
      <c r="H303" s="12">
        <v>14.4</v>
      </c>
      <c r="I303" s="12"/>
      <c r="J303" s="12" t="s">
        <v>135</v>
      </c>
      <c r="K303" s="12" t="b">
        <v>1</v>
      </c>
      <c r="L303" s="12">
        <v>2</v>
      </c>
      <c r="M303" s="8">
        <v>2016</v>
      </c>
      <c r="N303" s="9">
        <v>0</v>
      </c>
      <c r="O303" s="13">
        <v>41717</v>
      </c>
      <c r="P303" s="13">
        <v>41717</v>
      </c>
    </row>
    <row r="304" spans="1:16">
      <c r="A304" s="10">
        <v>2014</v>
      </c>
      <c r="B304" s="11" t="s">
        <v>489</v>
      </c>
      <c r="C304" s="11" t="s">
        <v>490</v>
      </c>
      <c r="D304" s="12">
        <v>1002052</v>
      </c>
      <c r="E304" s="12">
        <v>2</v>
      </c>
      <c r="F304" s="12"/>
      <c r="G304" s="12">
        <v>720</v>
      </c>
      <c r="H304" s="12" t="s">
        <v>106</v>
      </c>
      <c r="I304" s="12"/>
      <c r="J304" s="12" t="s">
        <v>107</v>
      </c>
      <c r="K304" s="12" t="b">
        <v>0</v>
      </c>
      <c r="L304" s="12">
        <v>2</v>
      </c>
      <c r="M304" s="8">
        <v>2016</v>
      </c>
      <c r="N304" s="9">
        <v>0</v>
      </c>
      <c r="O304" s="13">
        <v>41717</v>
      </c>
      <c r="P304" s="13">
        <v>41717</v>
      </c>
    </row>
    <row r="305" spans="1:16">
      <c r="A305" s="10">
        <v>2014</v>
      </c>
      <c r="B305" s="11" t="s">
        <v>489</v>
      </c>
      <c r="C305" s="11" t="s">
        <v>490</v>
      </c>
      <c r="D305" s="12">
        <v>1002052</v>
      </c>
      <c r="E305" s="12">
        <v>2</v>
      </c>
      <c r="F305" s="12"/>
      <c r="G305" s="12">
        <v>480</v>
      </c>
      <c r="H305" s="12">
        <v>9.1999999999999993</v>
      </c>
      <c r="I305" s="12" t="s">
        <v>387</v>
      </c>
      <c r="J305" s="12" t="s">
        <v>388</v>
      </c>
      <c r="K305" s="12" t="b">
        <v>0</v>
      </c>
      <c r="L305" s="12">
        <v>3</v>
      </c>
      <c r="M305" s="8">
        <v>2017</v>
      </c>
      <c r="N305" s="9">
        <v>0</v>
      </c>
      <c r="O305" s="13">
        <v>41717</v>
      </c>
      <c r="P305" s="13">
        <v>41717</v>
      </c>
    </row>
    <row r="306" spans="1:16">
      <c r="A306" s="10">
        <v>2014</v>
      </c>
      <c r="B306" s="11" t="s">
        <v>489</v>
      </c>
      <c r="C306" s="11" t="s">
        <v>490</v>
      </c>
      <c r="D306" s="12">
        <v>1002052</v>
      </c>
      <c r="E306" s="12">
        <v>2</v>
      </c>
      <c r="F306" s="12"/>
      <c r="G306" s="12">
        <v>920</v>
      </c>
      <c r="H306" s="12" t="s">
        <v>132</v>
      </c>
      <c r="I306" s="12"/>
      <c r="J306" s="12" t="s">
        <v>416</v>
      </c>
      <c r="K306" s="12" t="b">
        <v>1</v>
      </c>
      <c r="L306" s="12">
        <v>2</v>
      </c>
      <c r="M306" s="8">
        <v>2016</v>
      </c>
      <c r="N306" s="9">
        <v>0</v>
      </c>
      <c r="O306" s="13">
        <v>41717</v>
      </c>
      <c r="P306" s="13">
        <v>41717</v>
      </c>
    </row>
    <row r="307" spans="1:16">
      <c r="A307" s="10">
        <v>2014</v>
      </c>
      <c r="B307" s="11" t="s">
        <v>489</v>
      </c>
      <c r="C307" s="11" t="s">
        <v>490</v>
      </c>
      <c r="D307" s="12">
        <v>1002052</v>
      </c>
      <c r="E307" s="12">
        <v>2</v>
      </c>
      <c r="F307" s="12"/>
      <c r="G307" s="12">
        <v>180</v>
      </c>
      <c r="H307" s="12" t="s">
        <v>64</v>
      </c>
      <c r="I307" s="12"/>
      <c r="J307" s="12" t="s">
        <v>367</v>
      </c>
      <c r="K307" s="12" t="b">
        <v>0</v>
      </c>
      <c r="L307" s="12">
        <v>0</v>
      </c>
      <c r="M307" s="8">
        <v>2014</v>
      </c>
      <c r="N307" s="9">
        <v>20000</v>
      </c>
      <c r="O307" s="13">
        <v>41717</v>
      </c>
      <c r="P307" s="13">
        <v>41717</v>
      </c>
    </row>
    <row r="308" spans="1:16">
      <c r="A308" s="10">
        <v>2014</v>
      </c>
      <c r="B308" s="11" t="s">
        <v>489</v>
      </c>
      <c r="C308" s="11" t="s">
        <v>490</v>
      </c>
      <c r="D308" s="12">
        <v>1002052</v>
      </c>
      <c r="E308" s="12">
        <v>2</v>
      </c>
      <c r="F308" s="12"/>
      <c r="G308" s="12">
        <v>420</v>
      </c>
      <c r="H308" s="12">
        <v>8.1</v>
      </c>
      <c r="I308" s="12" t="s">
        <v>382</v>
      </c>
      <c r="J308" s="12" t="s">
        <v>82</v>
      </c>
      <c r="K308" s="12" t="b">
        <v>0</v>
      </c>
      <c r="L308" s="12">
        <v>1</v>
      </c>
      <c r="M308" s="8">
        <v>2015</v>
      </c>
      <c r="N308" s="9">
        <v>1685000</v>
      </c>
      <c r="O308" s="13">
        <v>41717</v>
      </c>
      <c r="P308" s="13">
        <v>41717</v>
      </c>
    </row>
    <row r="309" spans="1:16">
      <c r="A309" s="10">
        <v>2014</v>
      </c>
      <c r="B309" s="11" t="s">
        <v>489</v>
      </c>
      <c r="C309" s="11" t="s">
        <v>490</v>
      </c>
      <c r="D309" s="12">
        <v>1002052</v>
      </c>
      <c r="E309" s="12">
        <v>2</v>
      </c>
      <c r="F309" s="12"/>
      <c r="G309" s="12">
        <v>140</v>
      </c>
      <c r="H309" s="12" t="s">
        <v>59</v>
      </c>
      <c r="I309" s="12"/>
      <c r="J309" s="12" t="s">
        <v>60</v>
      </c>
      <c r="K309" s="12" t="b">
        <v>1</v>
      </c>
      <c r="L309" s="12">
        <v>0</v>
      </c>
      <c r="M309" s="8">
        <v>2014</v>
      </c>
      <c r="N309" s="9">
        <v>0</v>
      </c>
      <c r="O309" s="13">
        <v>41717</v>
      </c>
      <c r="P309" s="13">
        <v>41717</v>
      </c>
    </row>
    <row r="310" spans="1:16">
      <c r="A310" s="10">
        <v>2014</v>
      </c>
      <c r="B310" s="11" t="s">
        <v>489</v>
      </c>
      <c r="C310" s="11" t="s">
        <v>490</v>
      </c>
      <c r="D310" s="12">
        <v>1002052</v>
      </c>
      <c r="E310" s="12">
        <v>2</v>
      </c>
      <c r="F310" s="12"/>
      <c r="G310" s="12">
        <v>840</v>
      </c>
      <c r="H310" s="12">
        <v>13.5</v>
      </c>
      <c r="I310" s="12"/>
      <c r="J310" s="12" t="s">
        <v>123</v>
      </c>
      <c r="K310" s="12" t="b">
        <v>1</v>
      </c>
      <c r="L310" s="12">
        <v>3</v>
      </c>
      <c r="M310" s="8">
        <v>2017</v>
      </c>
      <c r="N310" s="9">
        <v>0</v>
      </c>
      <c r="O310" s="13">
        <v>41717</v>
      </c>
      <c r="P310" s="13">
        <v>41717</v>
      </c>
    </row>
    <row r="311" spans="1:16">
      <c r="A311" s="10">
        <v>2014</v>
      </c>
      <c r="B311" s="11" t="s">
        <v>489</v>
      </c>
      <c r="C311" s="11" t="s">
        <v>490</v>
      </c>
      <c r="D311" s="12">
        <v>1002052</v>
      </c>
      <c r="E311" s="12">
        <v>2</v>
      </c>
      <c r="F311" s="12"/>
      <c r="G311" s="12">
        <v>540</v>
      </c>
      <c r="H311" s="12" t="s">
        <v>84</v>
      </c>
      <c r="I311" s="12" t="s">
        <v>399</v>
      </c>
      <c r="J311" s="12" t="s">
        <v>400</v>
      </c>
      <c r="K311" s="12" t="b">
        <v>0</v>
      </c>
      <c r="L311" s="12">
        <v>2</v>
      </c>
      <c r="M311" s="8">
        <v>2016</v>
      </c>
      <c r="N311" s="9">
        <v>1805</v>
      </c>
      <c r="O311" s="13">
        <v>41717</v>
      </c>
      <c r="P311" s="13">
        <v>41717</v>
      </c>
    </row>
    <row r="312" spans="1:16">
      <c r="A312" s="10">
        <v>2014</v>
      </c>
      <c r="B312" s="11" t="s">
        <v>489</v>
      </c>
      <c r="C312" s="11" t="s">
        <v>490</v>
      </c>
      <c r="D312" s="12">
        <v>1002052</v>
      </c>
      <c r="E312" s="12">
        <v>2</v>
      </c>
      <c r="F312" s="12"/>
      <c r="G312" s="12">
        <v>510</v>
      </c>
      <c r="H312" s="12">
        <v>9.6</v>
      </c>
      <c r="I312" s="12"/>
      <c r="J312" s="12" t="s">
        <v>395</v>
      </c>
      <c r="K312" s="12" t="b">
        <v>1</v>
      </c>
      <c r="L312" s="12">
        <v>1</v>
      </c>
      <c r="M312" s="8">
        <v>2015</v>
      </c>
      <c r="N312" s="9">
        <v>0.21790000000000001</v>
      </c>
      <c r="O312" s="13">
        <v>41717</v>
      </c>
      <c r="P312" s="13">
        <v>41717</v>
      </c>
    </row>
    <row r="313" spans="1:16">
      <c r="A313" s="10">
        <v>2014</v>
      </c>
      <c r="B313" s="11" t="s">
        <v>489</v>
      </c>
      <c r="C313" s="11" t="s">
        <v>490</v>
      </c>
      <c r="D313" s="12">
        <v>1002052</v>
      </c>
      <c r="E313" s="12">
        <v>2</v>
      </c>
      <c r="F313" s="12"/>
      <c r="G313" s="12">
        <v>850</v>
      </c>
      <c r="H313" s="12">
        <v>13.6</v>
      </c>
      <c r="I313" s="12"/>
      <c r="J313" s="12" t="s">
        <v>124</v>
      </c>
      <c r="K313" s="12" t="b">
        <v>1</v>
      </c>
      <c r="L313" s="12">
        <v>1</v>
      </c>
      <c r="M313" s="8">
        <v>2015</v>
      </c>
      <c r="N313" s="9">
        <v>0</v>
      </c>
      <c r="O313" s="13">
        <v>41717</v>
      </c>
      <c r="P313" s="13">
        <v>41717</v>
      </c>
    </row>
    <row r="314" spans="1:16">
      <c r="A314" s="10">
        <v>2014</v>
      </c>
      <c r="B314" s="11" t="s">
        <v>489</v>
      </c>
      <c r="C314" s="11" t="s">
        <v>490</v>
      </c>
      <c r="D314" s="12">
        <v>1002052</v>
      </c>
      <c r="E314" s="12">
        <v>2</v>
      </c>
      <c r="F314" s="12"/>
      <c r="G314" s="12">
        <v>764</v>
      </c>
      <c r="H314" s="12" t="s">
        <v>405</v>
      </c>
      <c r="I314" s="12"/>
      <c r="J314" s="12" t="s">
        <v>406</v>
      </c>
      <c r="K314" s="12" t="b">
        <v>1</v>
      </c>
      <c r="L314" s="12">
        <v>0</v>
      </c>
      <c r="M314" s="8">
        <v>2014</v>
      </c>
      <c r="N314" s="9">
        <v>0</v>
      </c>
      <c r="O314" s="13">
        <v>41717</v>
      </c>
      <c r="P314" s="13">
        <v>41717</v>
      </c>
    </row>
    <row r="315" spans="1:16">
      <c r="A315" s="10">
        <v>2014</v>
      </c>
      <c r="B315" s="11" t="s">
        <v>489</v>
      </c>
      <c r="C315" s="11" t="s">
        <v>490</v>
      </c>
      <c r="D315" s="12">
        <v>1002052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88</v>
      </c>
      <c r="K315" s="12" t="b">
        <v>0</v>
      </c>
      <c r="L315" s="12">
        <v>2</v>
      </c>
      <c r="M315" s="8">
        <v>2016</v>
      </c>
      <c r="N315" s="9">
        <v>4378000</v>
      </c>
      <c r="O315" s="13">
        <v>41717</v>
      </c>
      <c r="P315" s="13">
        <v>41717</v>
      </c>
    </row>
    <row r="316" spans="1:16">
      <c r="A316" s="10">
        <v>2014</v>
      </c>
      <c r="B316" s="11" t="s">
        <v>489</v>
      </c>
      <c r="C316" s="11" t="s">
        <v>490</v>
      </c>
      <c r="D316" s="12">
        <v>1002052</v>
      </c>
      <c r="E316" s="12">
        <v>2</v>
      </c>
      <c r="F316" s="12"/>
      <c r="G316" s="12">
        <v>710</v>
      </c>
      <c r="H316" s="12" t="s">
        <v>104</v>
      </c>
      <c r="I316" s="12"/>
      <c r="J316" s="12" t="s">
        <v>105</v>
      </c>
      <c r="K316" s="12" t="b">
        <v>0</v>
      </c>
      <c r="L316" s="12">
        <v>0</v>
      </c>
      <c r="M316" s="8">
        <v>2014</v>
      </c>
      <c r="N316" s="9">
        <v>2114404</v>
      </c>
      <c r="O316" s="13">
        <v>41717</v>
      </c>
      <c r="P316" s="13">
        <v>41717</v>
      </c>
    </row>
    <row r="317" spans="1:16">
      <c r="A317" s="10">
        <v>2014</v>
      </c>
      <c r="B317" s="11" t="s">
        <v>489</v>
      </c>
      <c r="C317" s="11" t="s">
        <v>490</v>
      </c>
      <c r="D317" s="12">
        <v>1002052</v>
      </c>
      <c r="E317" s="12">
        <v>2</v>
      </c>
      <c r="F317" s="12"/>
      <c r="G317" s="12">
        <v>80</v>
      </c>
      <c r="H317" s="12" t="s">
        <v>51</v>
      </c>
      <c r="I317" s="12"/>
      <c r="J317" s="12" t="s">
        <v>52</v>
      </c>
      <c r="K317" s="12" t="b">
        <v>1</v>
      </c>
      <c r="L317" s="12">
        <v>2</v>
      </c>
      <c r="M317" s="8">
        <v>2016</v>
      </c>
      <c r="N317" s="9">
        <v>1350903</v>
      </c>
      <c r="O317" s="13">
        <v>41717</v>
      </c>
      <c r="P317" s="13">
        <v>41717</v>
      </c>
    </row>
    <row r="318" spans="1:16">
      <c r="A318" s="10">
        <v>2014</v>
      </c>
      <c r="B318" s="11" t="s">
        <v>489</v>
      </c>
      <c r="C318" s="11" t="s">
        <v>490</v>
      </c>
      <c r="D318" s="12">
        <v>1002052</v>
      </c>
      <c r="E318" s="12">
        <v>2</v>
      </c>
      <c r="F318" s="12"/>
      <c r="G318" s="12">
        <v>730</v>
      </c>
      <c r="H318" s="12">
        <v>12.3</v>
      </c>
      <c r="I318" s="12"/>
      <c r="J318" s="12" t="s">
        <v>108</v>
      </c>
      <c r="K318" s="12" t="b">
        <v>0</v>
      </c>
      <c r="L318" s="12">
        <v>2</v>
      </c>
      <c r="M318" s="8">
        <v>2016</v>
      </c>
      <c r="N318" s="9">
        <v>0</v>
      </c>
      <c r="O318" s="13">
        <v>41717</v>
      </c>
      <c r="P318" s="13">
        <v>41717</v>
      </c>
    </row>
    <row r="319" spans="1:16">
      <c r="A319" s="10">
        <v>2014</v>
      </c>
      <c r="B319" s="11" t="s">
        <v>489</v>
      </c>
      <c r="C319" s="11" t="s">
        <v>490</v>
      </c>
      <c r="D319" s="12">
        <v>1002052</v>
      </c>
      <c r="E319" s="12">
        <v>2</v>
      </c>
      <c r="F319" s="12"/>
      <c r="G319" s="12">
        <v>763</v>
      </c>
      <c r="H319" s="12">
        <v>12.5</v>
      </c>
      <c r="I319" s="12"/>
      <c r="J319" s="12" t="s">
        <v>404</v>
      </c>
      <c r="K319" s="12" t="b">
        <v>1</v>
      </c>
      <c r="L319" s="12">
        <v>3</v>
      </c>
      <c r="M319" s="8">
        <v>2017</v>
      </c>
      <c r="N319" s="9">
        <v>0</v>
      </c>
      <c r="O319" s="13">
        <v>41717</v>
      </c>
      <c r="P319" s="13">
        <v>41717</v>
      </c>
    </row>
    <row r="320" spans="1:16">
      <c r="A320" s="10">
        <v>2014</v>
      </c>
      <c r="B320" s="11" t="s">
        <v>489</v>
      </c>
      <c r="C320" s="11" t="s">
        <v>490</v>
      </c>
      <c r="D320" s="12">
        <v>1002052</v>
      </c>
      <c r="E320" s="12">
        <v>2</v>
      </c>
      <c r="F320" s="12"/>
      <c r="G320" s="12">
        <v>920</v>
      </c>
      <c r="H320" s="12" t="s">
        <v>132</v>
      </c>
      <c r="I320" s="12"/>
      <c r="J320" s="12" t="s">
        <v>416</v>
      </c>
      <c r="K320" s="12" t="b">
        <v>1</v>
      </c>
      <c r="L320" s="12">
        <v>0</v>
      </c>
      <c r="M320" s="8">
        <v>2014</v>
      </c>
      <c r="N320" s="9">
        <v>0</v>
      </c>
      <c r="O320" s="13">
        <v>41717</v>
      </c>
      <c r="P320" s="13">
        <v>41717</v>
      </c>
    </row>
    <row r="321" spans="1:16">
      <c r="A321" s="10">
        <v>2014</v>
      </c>
      <c r="B321" s="11" t="s">
        <v>489</v>
      </c>
      <c r="C321" s="11" t="s">
        <v>490</v>
      </c>
      <c r="D321" s="12">
        <v>1002052</v>
      </c>
      <c r="E321" s="12">
        <v>2</v>
      </c>
      <c r="F321" s="12"/>
      <c r="G321" s="12">
        <v>300</v>
      </c>
      <c r="H321" s="12">
        <v>5</v>
      </c>
      <c r="I321" s="12" t="s">
        <v>374</v>
      </c>
      <c r="J321" s="12" t="s">
        <v>76</v>
      </c>
      <c r="K321" s="12" t="b">
        <v>0</v>
      </c>
      <c r="L321" s="12">
        <v>2</v>
      </c>
      <c r="M321" s="8">
        <v>2016</v>
      </c>
      <c r="N321" s="9">
        <v>0</v>
      </c>
      <c r="O321" s="13">
        <v>41717</v>
      </c>
      <c r="P321" s="13">
        <v>41717</v>
      </c>
    </row>
    <row r="322" spans="1:16">
      <c r="A322" s="10">
        <v>2014</v>
      </c>
      <c r="B322" s="11" t="s">
        <v>489</v>
      </c>
      <c r="C322" s="11" t="s">
        <v>490</v>
      </c>
      <c r="D322" s="12">
        <v>1002052</v>
      </c>
      <c r="E322" s="12">
        <v>2</v>
      </c>
      <c r="F322" s="12"/>
      <c r="G322" s="12">
        <v>510</v>
      </c>
      <c r="H322" s="12">
        <v>9.6</v>
      </c>
      <c r="I322" s="12"/>
      <c r="J322" s="12" t="s">
        <v>395</v>
      </c>
      <c r="K322" s="12" t="b">
        <v>1</v>
      </c>
      <c r="L322" s="12">
        <v>2</v>
      </c>
      <c r="M322" s="8">
        <v>2016</v>
      </c>
      <c r="N322" s="9">
        <v>0.1827</v>
      </c>
      <c r="O322" s="13">
        <v>41717</v>
      </c>
      <c r="P322" s="13">
        <v>41717</v>
      </c>
    </row>
    <row r="323" spans="1:16">
      <c r="A323" s="10">
        <v>2014</v>
      </c>
      <c r="B323" s="11" t="s">
        <v>489</v>
      </c>
      <c r="C323" s="11" t="s">
        <v>490</v>
      </c>
      <c r="D323" s="12">
        <v>1002052</v>
      </c>
      <c r="E323" s="12">
        <v>2</v>
      </c>
      <c r="F323" s="12"/>
      <c r="G323" s="12">
        <v>320</v>
      </c>
      <c r="H323" s="12" t="s">
        <v>78</v>
      </c>
      <c r="I323" s="12" t="s">
        <v>375</v>
      </c>
      <c r="J323" s="12" t="s">
        <v>376</v>
      </c>
      <c r="K323" s="12" t="b">
        <v>1</v>
      </c>
      <c r="L323" s="12">
        <v>3</v>
      </c>
      <c r="M323" s="8">
        <v>2017</v>
      </c>
      <c r="N323" s="9">
        <v>0</v>
      </c>
      <c r="O323" s="13">
        <v>41717</v>
      </c>
      <c r="P323" s="13">
        <v>41717</v>
      </c>
    </row>
    <row r="324" spans="1:16">
      <c r="A324" s="10">
        <v>2014</v>
      </c>
      <c r="B324" s="11" t="s">
        <v>489</v>
      </c>
      <c r="C324" s="11" t="s">
        <v>490</v>
      </c>
      <c r="D324" s="12">
        <v>1002052</v>
      </c>
      <c r="E324" s="12">
        <v>2</v>
      </c>
      <c r="F324" s="12"/>
      <c r="G324" s="12">
        <v>670</v>
      </c>
      <c r="H324" s="12">
        <v>12.1</v>
      </c>
      <c r="I324" s="12"/>
      <c r="J324" s="12" t="s">
        <v>98</v>
      </c>
      <c r="K324" s="12" t="b">
        <v>1</v>
      </c>
      <c r="L324" s="12">
        <v>0</v>
      </c>
      <c r="M324" s="8">
        <v>2014</v>
      </c>
      <c r="N324" s="9">
        <v>261432.67</v>
      </c>
      <c r="O324" s="13">
        <v>41717</v>
      </c>
      <c r="P324" s="13">
        <v>41717</v>
      </c>
    </row>
    <row r="325" spans="1:16">
      <c r="A325" s="10">
        <v>2014</v>
      </c>
      <c r="B325" s="11" t="s">
        <v>489</v>
      </c>
      <c r="C325" s="11" t="s">
        <v>490</v>
      </c>
      <c r="D325" s="12">
        <v>1002052</v>
      </c>
      <c r="E325" s="12">
        <v>2</v>
      </c>
      <c r="F325" s="12"/>
      <c r="G325" s="12">
        <v>260</v>
      </c>
      <c r="H325" s="12">
        <v>4.3</v>
      </c>
      <c r="I325" s="12"/>
      <c r="J325" s="12" t="s">
        <v>72</v>
      </c>
      <c r="K325" s="12" t="b">
        <v>1</v>
      </c>
      <c r="L325" s="12">
        <v>2</v>
      </c>
      <c r="M325" s="8">
        <v>2016</v>
      </c>
      <c r="N325" s="9">
        <v>0</v>
      </c>
      <c r="O325" s="13">
        <v>41717</v>
      </c>
      <c r="P325" s="13">
        <v>41717</v>
      </c>
    </row>
    <row r="326" spans="1:16">
      <c r="A326" s="10">
        <v>2014</v>
      </c>
      <c r="B326" s="11" t="s">
        <v>489</v>
      </c>
      <c r="C326" s="11" t="s">
        <v>490</v>
      </c>
      <c r="D326" s="12">
        <v>1002052</v>
      </c>
      <c r="E326" s="12">
        <v>2</v>
      </c>
      <c r="F326" s="12"/>
      <c r="G326" s="12">
        <v>920</v>
      </c>
      <c r="H326" s="12" t="s">
        <v>132</v>
      </c>
      <c r="I326" s="12"/>
      <c r="J326" s="12" t="s">
        <v>416</v>
      </c>
      <c r="K326" s="12" t="b">
        <v>1</v>
      </c>
      <c r="L326" s="12">
        <v>1</v>
      </c>
      <c r="M326" s="8">
        <v>2015</v>
      </c>
      <c r="N326" s="9">
        <v>0</v>
      </c>
      <c r="O326" s="13">
        <v>41717</v>
      </c>
      <c r="P326" s="13">
        <v>41717</v>
      </c>
    </row>
    <row r="327" spans="1:16">
      <c r="A327" s="10">
        <v>2014</v>
      </c>
      <c r="B327" s="11" t="s">
        <v>489</v>
      </c>
      <c r="C327" s="11" t="s">
        <v>490</v>
      </c>
      <c r="D327" s="12">
        <v>1002052</v>
      </c>
      <c r="E327" s="12">
        <v>2</v>
      </c>
      <c r="F327" s="12"/>
      <c r="G327" s="12">
        <v>570</v>
      </c>
      <c r="H327" s="12">
        <v>11</v>
      </c>
      <c r="I327" s="12"/>
      <c r="J327" s="12" t="s">
        <v>87</v>
      </c>
      <c r="K327" s="12" t="b">
        <v>0</v>
      </c>
      <c r="L327" s="12">
        <v>0</v>
      </c>
      <c r="M327" s="8">
        <v>2014</v>
      </c>
      <c r="N327" s="9">
        <v>0</v>
      </c>
      <c r="O327" s="13">
        <v>41717</v>
      </c>
      <c r="P327" s="13">
        <v>41717</v>
      </c>
    </row>
    <row r="328" spans="1:16">
      <c r="A328" s="10">
        <v>2014</v>
      </c>
      <c r="B328" s="11" t="s">
        <v>489</v>
      </c>
      <c r="C328" s="11" t="s">
        <v>490</v>
      </c>
      <c r="D328" s="12">
        <v>1002052</v>
      </c>
      <c r="E328" s="12">
        <v>2</v>
      </c>
      <c r="F328" s="12"/>
      <c r="G328" s="12">
        <v>740</v>
      </c>
      <c r="H328" s="12" t="s">
        <v>109</v>
      </c>
      <c r="I328" s="12"/>
      <c r="J328" s="12" t="s">
        <v>110</v>
      </c>
      <c r="K328" s="12" t="b">
        <v>0</v>
      </c>
      <c r="L328" s="12">
        <v>1</v>
      </c>
      <c r="M328" s="8">
        <v>2015</v>
      </c>
      <c r="N328" s="9">
        <v>0</v>
      </c>
      <c r="O328" s="13">
        <v>41717</v>
      </c>
      <c r="P328" s="13">
        <v>41717</v>
      </c>
    </row>
    <row r="329" spans="1:16">
      <c r="A329" s="10">
        <v>2014</v>
      </c>
      <c r="B329" s="11" t="s">
        <v>489</v>
      </c>
      <c r="C329" s="11" t="s">
        <v>490</v>
      </c>
      <c r="D329" s="12">
        <v>1002052</v>
      </c>
      <c r="E329" s="12">
        <v>2</v>
      </c>
      <c r="F329" s="12"/>
      <c r="G329" s="12">
        <v>790</v>
      </c>
      <c r="H329" s="12">
        <v>13</v>
      </c>
      <c r="I329" s="12"/>
      <c r="J329" s="12" t="s">
        <v>118</v>
      </c>
      <c r="K329" s="12" t="b">
        <v>1</v>
      </c>
      <c r="L329" s="12">
        <v>3</v>
      </c>
      <c r="M329" s="8">
        <v>2017</v>
      </c>
      <c r="N329" s="9">
        <v>0</v>
      </c>
      <c r="O329" s="13">
        <v>41717</v>
      </c>
      <c r="P329" s="13">
        <v>41717</v>
      </c>
    </row>
    <row r="330" spans="1:16">
      <c r="A330" s="10">
        <v>2014</v>
      </c>
      <c r="B330" s="11" t="s">
        <v>489</v>
      </c>
      <c r="C330" s="11" t="s">
        <v>490</v>
      </c>
      <c r="D330" s="12">
        <v>1002052</v>
      </c>
      <c r="E330" s="12">
        <v>2</v>
      </c>
      <c r="F330" s="12"/>
      <c r="G330" s="12">
        <v>90</v>
      </c>
      <c r="H330" s="12">
        <v>1.2</v>
      </c>
      <c r="I330" s="12"/>
      <c r="J330" s="12" t="s">
        <v>53</v>
      </c>
      <c r="K330" s="12" t="b">
        <v>1</v>
      </c>
      <c r="L330" s="12">
        <v>0</v>
      </c>
      <c r="M330" s="8">
        <v>2014</v>
      </c>
      <c r="N330" s="9">
        <v>2379904</v>
      </c>
      <c r="O330" s="13">
        <v>41717</v>
      </c>
      <c r="P330" s="13">
        <v>41717</v>
      </c>
    </row>
    <row r="331" spans="1:16">
      <c r="A331" s="10">
        <v>2014</v>
      </c>
      <c r="B331" s="11" t="s">
        <v>489</v>
      </c>
      <c r="C331" s="11" t="s">
        <v>490</v>
      </c>
      <c r="D331" s="12">
        <v>1002052</v>
      </c>
      <c r="E331" s="12">
        <v>2</v>
      </c>
      <c r="F331" s="12"/>
      <c r="G331" s="12">
        <v>110</v>
      </c>
      <c r="H331" s="12" t="s">
        <v>56</v>
      </c>
      <c r="I331" s="12"/>
      <c r="J331" s="12" t="s">
        <v>57</v>
      </c>
      <c r="K331" s="12" t="b">
        <v>1</v>
      </c>
      <c r="L331" s="12">
        <v>2</v>
      </c>
      <c r="M331" s="8">
        <v>2016</v>
      </c>
      <c r="N331" s="9">
        <v>0</v>
      </c>
      <c r="O331" s="13">
        <v>41717</v>
      </c>
      <c r="P331" s="13">
        <v>41717</v>
      </c>
    </row>
    <row r="332" spans="1:16">
      <c r="A332" s="10">
        <v>2014</v>
      </c>
      <c r="B332" s="11" t="s">
        <v>489</v>
      </c>
      <c r="C332" s="11" t="s">
        <v>490</v>
      </c>
      <c r="D332" s="12">
        <v>1002052</v>
      </c>
      <c r="E332" s="12">
        <v>2</v>
      </c>
      <c r="F332" s="12"/>
      <c r="G332" s="12">
        <v>730</v>
      </c>
      <c r="H332" s="12">
        <v>12.3</v>
      </c>
      <c r="I332" s="12"/>
      <c r="J332" s="12" t="s">
        <v>108</v>
      </c>
      <c r="K332" s="12" t="b">
        <v>0</v>
      </c>
      <c r="L332" s="12">
        <v>3</v>
      </c>
      <c r="M332" s="8">
        <v>2017</v>
      </c>
      <c r="N332" s="9">
        <v>0</v>
      </c>
      <c r="O332" s="13">
        <v>41717</v>
      </c>
      <c r="P332" s="13">
        <v>41717</v>
      </c>
    </row>
    <row r="333" spans="1:16">
      <c r="A333" s="10">
        <v>2014</v>
      </c>
      <c r="B333" s="11" t="s">
        <v>489</v>
      </c>
      <c r="C333" s="11" t="s">
        <v>490</v>
      </c>
      <c r="D333" s="12">
        <v>1002052</v>
      </c>
      <c r="E333" s="12">
        <v>2</v>
      </c>
      <c r="F333" s="12"/>
      <c r="G333" s="12">
        <v>332</v>
      </c>
      <c r="H333" s="12" t="s">
        <v>79</v>
      </c>
      <c r="I333" s="12"/>
      <c r="J333" s="12" t="s">
        <v>377</v>
      </c>
      <c r="K333" s="12" t="b">
        <v>1</v>
      </c>
      <c r="L333" s="12">
        <v>2</v>
      </c>
      <c r="M333" s="8">
        <v>2016</v>
      </c>
      <c r="N333" s="9">
        <v>0</v>
      </c>
      <c r="O333" s="13">
        <v>41717</v>
      </c>
      <c r="P333" s="13">
        <v>41717</v>
      </c>
    </row>
    <row r="334" spans="1:16">
      <c r="A334" s="10">
        <v>2014</v>
      </c>
      <c r="B334" s="11" t="s">
        <v>489</v>
      </c>
      <c r="C334" s="11" t="s">
        <v>490</v>
      </c>
      <c r="D334" s="12">
        <v>1002052</v>
      </c>
      <c r="E334" s="12">
        <v>2</v>
      </c>
      <c r="F334" s="12"/>
      <c r="G334" s="12">
        <v>140</v>
      </c>
      <c r="H334" s="12" t="s">
        <v>59</v>
      </c>
      <c r="I334" s="12"/>
      <c r="J334" s="12" t="s">
        <v>60</v>
      </c>
      <c r="K334" s="12" t="b">
        <v>1</v>
      </c>
      <c r="L334" s="12">
        <v>1</v>
      </c>
      <c r="M334" s="8">
        <v>2015</v>
      </c>
      <c r="N334" s="9">
        <v>0</v>
      </c>
      <c r="O334" s="13">
        <v>41717</v>
      </c>
      <c r="P334" s="13">
        <v>41717</v>
      </c>
    </row>
    <row r="335" spans="1:16">
      <c r="A335" s="10">
        <v>2014</v>
      </c>
      <c r="B335" s="11" t="s">
        <v>489</v>
      </c>
      <c r="C335" s="11" t="s">
        <v>490</v>
      </c>
      <c r="D335" s="12">
        <v>1002052</v>
      </c>
      <c r="E335" s="12">
        <v>2</v>
      </c>
      <c r="F335" s="12"/>
      <c r="G335" s="12">
        <v>930</v>
      </c>
      <c r="H335" s="12" t="s">
        <v>133</v>
      </c>
      <c r="I335" s="12"/>
      <c r="J335" s="12" t="s">
        <v>134</v>
      </c>
      <c r="K335" s="12" t="b">
        <v>1</v>
      </c>
      <c r="L335" s="12">
        <v>0</v>
      </c>
      <c r="M335" s="8">
        <v>2014</v>
      </c>
      <c r="N335" s="9">
        <v>0</v>
      </c>
      <c r="O335" s="13">
        <v>41717</v>
      </c>
      <c r="P335" s="13">
        <v>41717</v>
      </c>
    </row>
    <row r="336" spans="1:16">
      <c r="A336" s="10">
        <v>2014</v>
      </c>
      <c r="B336" s="11" t="s">
        <v>489</v>
      </c>
      <c r="C336" s="11" t="s">
        <v>490</v>
      </c>
      <c r="D336" s="12">
        <v>1002052</v>
      </c>
      <c r="E336" s="12">
        <v>2</v>
      </c>
      <c r="F336" s="12"/>
      <c r="G336" s="12">
        <v>761</v>
      </c>
      <c r="H336" s="12" t="s">
        <v>114</v>
      </c>
      <c r="I336" s="12"/>
      <c r="J336" s="12" t="s">
        <v>115</v>
      </c>
      <c r="K336" s="12" t="b">
        <v>1</v>
      </c>
      <c r="L336" s="12">
        <v>3</v>
      </c>
      <c r="M336" s="8">
        <v>2017</v>
      </c>
      <c r="N336" s="9">
        <v>0</v>
      </c>
      <c r="O336" s="13">
        <v>41717</v>
      </c>
      <c r="P336" s="13">
        <v>41717</v>
      </c>
    </row>
    <row r="337" spans="1:16">
      <c r="A337" s="10">
        <v>2014</v>
      </c>
      <c r="B337" s="11" t="s">
        <v>489</v>
      </c>
      <c r="C337" s="11" t="s">
        <v>490</v>
      </c>
      <c r="D337" s="12">
        <v>1002052</v>
      </c>
      <c r="E337" s="12">
        <v>2</v>
      </c>
      <c r="F337" s="12"/>
      <c r="G337" s="12">
        <v>720</v>
      </c>
      <c r="H337" s="12" t="s">
        <v>106</v>
      </c>
      <c r="I337" s="12"/>
      <c r="J337" s="12" t="s">
        <v>107</v>
      </c>
      <c r="K337" s="12" t="b">
        <v>0</v>
      </c>
      <c r="L337" s="12">
        <v>3</v>
      </c>
      <c r="M337" s="8">
        <v>2017</v>
      </c>
      <c r="N337" s="9">
        <v>0</v>
      </c>
      <c r="O337" s="13">
        <v>41717</v>
      </c>
      <c r="P337" s="13">
        <v>41717</v>
      </c>
    </row>
    <row r="338" spans="1:16">
      <c r="A338" s="10">
        <v>2014</v>
      </c>
      <c r="B338" s="11" t="s">
        <v>489</v>
      </c>
      <c r="C338" s="11" t="s">
        <v>490</v>
      </c>
      <c r="D338" s="12">
        <v>1002052</v>
      </c>
      <c r="E338" s="12">
        <v>2</v>
      </c>
      <c r="F338" s="12"/>
      <c r="G338" s="12">
        <v>940</v>
      </c>
      <c r="H338" s="12">
        <v>14.4</v>
      </c>
      <c r="I338" s="12"/>
      <c r="J338" s="12" t="s">
        <v>135</v>
      </c>
      <c r="K338" s="12" t="b">
        <v>1</v>
      </c>
      <c r="L338" s="12">
        <v>0</v>
      </c>
      <c r="M338" s="8">
        <v>2014</v>
      </c>
      <c r="N338" s="9">
        <v>0</v>
      </c>
      <c r="O338" s="13">
        <v>41717</v>
      </c>
      <c r="P338" s="13">
        <v>41717</v>
      </c>
    </row>
    <row r="339" spans="1:16">
      <c r="A339" s="10">
        <v>2014</v>
      </c>
      <c r="B339" s="11" t="s">
        <v>489</v>
      </c>
      <c r="C339" s="11" t="s">
        <v>490</v>
      </c>
      <c r="D339" s="12">
        <v>1002052</v>
      </c>
      <c r="E339" s="12">
        <v>2</v>
      </c>
      <c r="F339" s="12"/>
      <c r="G339" s="12">
        <v>250</v>
      </c>
      <c r="H339" s="12" t="s">
        <v>70</v>
      </c>
      <c r="I339" s="12"/>
      <c r="J339" s="12" t="s">
        <v>71</v>
      </c>
      <c r="K339" s="12" t="b">
        <v>0</v>
      </c>
      <c r="L339" s="12">
        <v>3</v>
      </c>
      <c r="M339" s="8">
        <v>2017</v>
      </c>
      <c r="N339" s="9">
        <v>0</v>
      </c>
      <c r="O339" s="13">
        <v>41717</v>
      </c>
      <c r="P339" s="13">
        <v>41717</v>
      </c>
    </row>
    <row r="340" spans="1:16">
      <c r="A340" s="10">
        <v>2014</v>
      </c>
      <c r="B340" s="11" t="s">
        <v>489</v>
      </c>
      <c r="C340" s="11" t="s">
        <v>490</v>
      </c>
      <c r="D340" s="12">
        <v>1002052</v>
      </c>
      <c r="E340" s="12">
        <v>2</v>
      </c>
      <c r="F340" s="12"/>
      <c r="G340" s="12">
        <v>740</v>
      </c>
      <c r="H340" s="12" t="s">
        <v>109</v>
      </c>
      <c r="I340" s="12"/>
      <c r="J340" s="12" t="s">
        <v>110</v>
      </c>
      <c r="K340" s="12" t="b">
        <v>0</v>
      </c>
      <c r="L340" s="12">
        <v>3</v>
      </c>
      <c r="M340" s="8">
        <v>2017</v>
      </c>
      <c r="N340" s="9">
        <v>0</v>
      </c>
      <c r="O340" s="13">
        <v>41717</v>
      </c>
      <c r="P340" s="13">
        <v>41717</v>
      </c>
    </row>
    <row r="341" spans="1:16">
      <c r="A341" s="10">
        <v>2014</v>
      </c>
      <c r="B341" s="11" t="s">
        <v>489</v>
      </c>
      <c r="C341" s="11" t="s">
        <v>490</v>
      </c>
      <c r="D341" s="12">
        <v>1002052</v>
      </c>
      <c r="E341" s="12">
        <v>2</v>
      </c>
      <c r="F341" s="12"/>
      <c r="G341" s="12">
        <v>766</v>
      </c>
      <c r="H341" s="12" t="s">
        <v>409</v>
      </c>
      <c r="I341" s="12"/>
      <c r="J341" s="12" t="s">
        <v>406</v>
      </c>
      <c r="K341" s="12" t="b">
        <v>1</v>
      </c>
      <c r="L341" s="12">
        <v>1</v>
      </c>
      <c r="M341" s="8">
        <v>2015</v>
      </c>
      <c r="N341" s="9">
        <v>0</v>
      </c>
      <c r="O341" s="13">
        <v>41717</v>
      </c>
      <c r="P341" s="13">
        <v>41717</v>
      </c>
    </row>
    <row r="342" spans="1:16">
      <c r="A342" s="10">
        <v>2014</v>
      </c>
      <c r="B342" s="11" t="s">
        <v>489</v>
      </c>
      <c r="C342" s="11" t="s">
        <v>490</v>
      </c>
      <c r="D342" s="12">
        <v>1002052</v>
      </c>
      <c r="E342" s="12">
        <v>2</v>
      </c>
      <c r="F342" s="12"/>
      <c r="G342" s="12">
        <v>150</v>
      </c>
      <c r="H342" s="12" t="s">
        <v>61</v>
      </c>
      <c r="I342" s="12"/>
      <c r="J342" s="12" t="s">
        <v>364</v>
      </c>
      <c r="K342" s="12" t="b">
        <v>1</v>
      </c>
      <c r="L342" s="12">
        <v>3</v>
      </c>
      <c r="M342" s="8">
        <v>2017</v>
      </c>
      <c r="N342" s="9">
        <v>0</v>
      </c>
      <c r="O342" s="13">
        <v>41717</v>
      </c>
      <c r="P342" s="13">
        <v>41717</v>
      </c>
    </row>
    <row r="343" spans="1:16">
      <c r="A343" s="10">
        <v>2014</v>
      </c>
      <c r="B343" s="11" t="s">
        <v>489</v>
      </c>
      <c r="C343" s="11" t="s">
        <v>490</v>
      </c>
      <c r="D343" s="12">
        <v>1002052</v>
      </c>
      <c r="E343" s="12">
        <v>2</v>
      </c>
      <c r="F343" s="12"/>
      <c r="G343" s="12">
        <v>680</v>
      </c>
      <c r="H343" s="12" t="s">
        <v>99</v>
      </c>
      <c r="I343" s="12"/>
      <c r="J343" s="12" t="s">
        <v>100</v>
      </c>
      <c r="K343" s="12" t="b">
        <v>1</v>
      </c>
      <c r="L343" s="12">
        <v>3</v>
      </c>
      <c r="M343" s="8">
        <v>2017</v>
      </c>
      <c r="N343" s="9">
        <v>0</v>
      </c>
      <c r="O343" s="13">
        <v>41717</v>
      </c>
      <c r="P343" s="13">
        <v>41717</v>
      </c>
    </row>
    <row r="344" spans="1:16">
      <c r="A344" s="10">
        <v>2014</v>
      </c>
      <c r="B344" s="11" t="s">
        <v>489</v>
      </c>
      <c r="C344" s="11" t="s">
        <v>490</v>
      </c>
      <c r="D344" s="12">
        <v>1002052</v>
      </c>
      <c r="E344" s="12">
        <v>2</v>
      </c>
      <c r="F344" s="12"/>
      <c r="G344" s="12">
        <v>130</v>
      </c>
      <c r="H344" s="12">
        <v>2.1</v>
      </c>
      <c r="I344" s="12"/>
      <c r="J344" s="12" t="s">
        <v>58</v>
      </c>
      <c r="K344" s="12" t="b">
        <v>1</v>
      </c>
      <c r="L344" s="12">
        <v>2</v>
      </c>
      <c r="M344" s="8">
        <v>2016</v>
      </c>
      <c r="N344" s="9">
        <v>9368000</v>
      </c>
      <c r="O344" s="13">
        <v>41717</v>
      </c>
      <c r="P344" s="13">
        <v>41717</v>
      </c>
    </row>
    <row r="345" spans="1:16">
      <c r="A345" s="10">
        <v>2014</v>
      </c>
      <c r="B345" s="11" t="s">
        <v>489</v>
      </c>
      <c r="C345" s="11" t="s">
        <v>490</v>
      </c>
      <c r="D345" s="12">
        <v>1002052</v>
      </c>
      <c r="E345" s="12">
        <v>2</v>
      </c>
      <c r="F345" s="12"/>
      <c r="G345" s="12">
        <v>270</v>
      </c>
      <c r="H345" s="12" t="s">
        <v>73</v>
      </c>
      <c r="I345" s="12"/>
      <c r="J345" s="12" t="s">
        <v>71</v>
      </c>
      <c r="K345" s="12" t="b">
        <v>1</v>
      </c>
      <c r="L345" s="12">
        <v>3</v>
      </c>
      <c r="M345" s="8">
        <v>2017</v>
      </c>
      <c r="N345" s="9">
        <v>0</v>
      </c>
      <c r="O345" s="13">
        <v>41717</v>
      </c>
      <c r="P345" s="13">
        <v>41717</v>
      </c>
    </row>
    <row r="346" spans="1:16">
      <c r="A346" s="10">
        <v>2014</v>
      </c>
      <c r="B346" s="11" t="s">
        <v>489</v>
      </c>
      <c r="C346" s="11" t="s">
        <v>490</v>
      </c>
      <c r="D346" s="12">
        <v>1002052</v>
      </c>
      <c r="E346" s="12">
        <v>2</v>
      </c>
      <c r="F346" s="12"/>
      <c r="G346" s="12">
        <v>880</v>
      </c>
      <c r="H346" s="12">
        <v>14.1</v>
      </c>
      <c r="I346" s="12"/>
      <c r="J346" s="12" t="s">
        <v>127</v>
      </c>
      <c r="K346" s="12" t="b">
        <v>1</v>
      </c>
      <c r="L346" s="12">
        <v>3</v>
      </c>
      <c r="M346" s="8">
        <v>2017</v>
      </c>
      <c r="N346" s="9">
        <v>0</v>
      </c>
      <c r="O346" s="13">
        <v>41717</v>
      </c>
      <c r="P346" s="13">
        <v>41717</v>
      </c>
    </row>
    <row r="347" spans="1:16">
      <c r="A347" s="10">
        <v>2014</v>
      </c>
      <c r="B347" s="11" t="s">
        <v>489</v>
      </c>
      <c r="C347" s="11" t="s">
        <v>490</v>
      </c>
      <c r="D347" s="12">
        <v>1002052</v>
      </c>
      <c r="E347" s="12">
        <v>2</v>
      </c>
      <c r="F347" s="12"/>
      <c r="G347" s="12">
        <v>840</v>
      </c>
      <c r="H347" s="12">
        <v>13.5</v>
      </c>
      <c r="I347" s="12"/>
      <c r="J347" s="12" t="s">
        <v>123</v>
      </c>
      <c r="K347" s="12" t="b">
        <v>1</v>
      </c>
      <c r="L347" s="12">
        <v>2</v>
      </c>
      <c r="M347" s="8">
        <v>2016</v>
      </c>
      <c r="N347" s="9">
        <v>0</v>
      </c>
      <c r="O347" s="13">
        <v>41717</v>
      </c>
      <c r="P347" s="13">
        <v>41717</v>
      </c>
    </row>
    <row r="348" spans="1:16">
      <c r="A348" s="10">
        <v>2014</v>
      </c>
      <c r="B348" s="11" t="s">
        <v>489</v>
      </c>
      <c r="C348" s="11" t="s">
        <v>490</v>
      </c>
      <c r="D348" s="12">
        <v>1002052</v>
      </c>
      <c r="E348" s="12">
        <v>2</v>
      </c>
      <c r="F348" s="12"/>
      <c r="G348" s="12">
        <v>30</v>
      </c>
      <c r="H348" s="12" t="s">
        <v>41</v>
      </c>
      <c r="I348" s="12"/>
      <c r="J348" s="12" t="s">
        <v>42</v>
      </c>
      <c r="K348" s="12" t="b">
        <v>1</v>
      </c>
      <c r="L348" s="12">
        <v>1</v>
      </c>
      <c r="M348" s="8">
        <v>2015</v>
      </c>
      <c r="N348" s="9">
        <v>1335088</v>
      </c>
      <c r="O348" s="13">
        <v>41717</v>
      </c>
      <c r="P348" s="13">
        <v>41717</v>
      </c>
    </row>
    <row r="349" spans="1:16">
      <c r="A349" s="10">
        <v>2014</v>
      </c>
      <c r="B349" s="11" t="s">
        <v>489</v>
      </c>
      <c r="C349" s="11" t="s">
        <v>490</v>
      </c>
      <c r="D349" s="12">
        <v>1002052</v>
      </c>
      <c r="E349" s="12">
        <v>2</v>
      </c>
      <c r="F349" s="12"/>
      <c r="G349" s="12">
        <v>290</v>
      </c>
      <c r="H349" s="12" t="s">
        <v>75</v>
      </c>
      <c r="I349" s="12"/>
      <c r="J349" s="12" t="s">
        <v>71</v>
      </c>
      <c r="K349" s="12" t="b">
        <v>0</v>
      </c>
      <c r="L349" s="12">
        <v>2</v>
      </c>
      <c r="M349" s="8">
        <v>2016</v>
      </c>
      <c r="N349" s="9">
        <v>0</v>
      </c>
      <c r="O349" s="13">
        <v>41717</v>
      </c>
      <c r="P349" s="13">
        <v>41717</v>
      </c>
    </row>
    <row r="350" spans="1:16">
      <c r="A350" s="10">
        <v>2014</v>
      </c>
      <c r="B350" s="11" t="s">
        <v>489</v>
      </c>
      <c r="C350" s="11" t="s">
        <v>490</v>
      </c>
      <c r="D350" s="12">
        <v>1002052</v>
      </c>
      <c r="E350" s="12">
        <v>2</v>
      </c>
      <c r="F350" s="12"/>
      <c r="G350" s="12">
        <v>190</v>
      </c>
      <c r="H350" s="12">
        <v>2.2000000000000002</v>
      </c>
      <c r="I350" s="12"/>
      <c r="J350" s="12" t="s">
        <v>65</v>
      </c>
      <c r="K350" s="12" t="b">
        <v>0</v>
      </c>
      <c r="L350" s="12">
        <v>1</v>
      </c>
      <c r="M350" s="8">
        <v>2015</v>
      </c>
      <c r="N350" s="9">
        <v>1685000</v>
      </c>
      <c r="O350" s="13">
        <v>41717</v>
      </c>
      <c r="P350" s="13">
        <v>41717</v>
      </c>
    </row>
    <row r="351" spans="1:16">
      <c r="A351" s="10">
        <v>2014</v>
      </c>
      <c r="B351" s="11" t="s">
        <v>489</v>
      </c>
      <c r="C351" s="11" t="s">
        <v>490</v>
      </c>
      <c r="D351" s="12">
        <v>1002052</v>
      </c>
      <c r="E351" s="12">
        <v>2</v>
      </c>
      <c r="F351" s="12"/>
      <c r="G351" s="12">
        <v>950</v>
      </c>
      <c r="H351" s="12">
        <v>15</v>
      </c>
      <c r="I351" s="12"/>
      <c r="J351" s="12" t="s">
        <v>417</v>
      </c>
      <c r="K351" s="12" t="b">
        <v>1</v>
      </c>
      <c r="L351" s="12">
        <v>1</v>
      </c>
      <c r="M351" s="8">
        <v>2015</v>
      </c>
      <c r="N351" s="9">
        <v>0</v>
      </c>
      <c r="O351" s="13">
        <v>41717</v>
      </c>
      <c r="P351" s="13">
        <v>41717</v>
      </c>
    </row>
    <row r="352" spans="1:16">
      <c r="A352" s="10">
        <v>2014</v>
      </c>
      <c r="B352" s="11" t="s">
        <v>489</v>
      </c>
      <c r="C352" s="11" t="s">
        <v>490</v>
      </c>
      <c r="D352" s="12">
        <v>1002052</v>
      </c>
      <c r="E352" s="12">
        <v>2</v>
      </c>
      <c r="F352" s="12"/>
      <c r="G352" s="12">
        <v>640</v>
      </c>
      <c r="H352" s="12">
        <v>11.5</v>
      </c>
      <c r="I352" s="12"/>
      <c r="J352" s="12" t="s">
        <v>95</v>
      </c>
      <c r="K352" s="12" t="b">
        <v>1</v>
      </c>
      <c r="L352" s="12">
        <v>1</v>
      </c>
      <c r="M352" s="8">
        <v>2015</v>
      </c>
      <c r="N352" s="9">
        <v>900300</v>
      </c>
      <c r="O352" s="13">
        <v>41717</v>
      </c>
      <c r="P352" s="13">
        <v>41717</v>
      </c>
    </row>
    <row r="353" spans="1:16">
      <c r="A353" s="10">
        <v>2014</v>
      </c>
      <c r="B353" s="11" t="s">
        <v>489</v>
      </c>
      <c r="C353" s="11" t="s">
        <v>490</v>
      </c>
      <c r="D353" s="12">
        <v>1002052</v>
      </c>
      <c r="E353" s="12">
        <v>2</v>
      </c>
      <c r="F353" s="12"/>
      <c r="G353" s="12">
        <v>350</v>
      </c>
      <c r="H353" s="12">
        <v>6</v>
      </c>
      <c r="I353" s="12"/>
      <c r="J353" s="12" t="s">
        <v>25</v>
      </c>
      <c r="K353" s="12" t="b">
        <v>1</v>
      </c>
      <c r="L353" s="12">
        <v>2</v>
      </c>
      <c r="M353" s="8">
        <v>2016</v>
      </c>
      <c r="N353" s="9">
        <v>0</v>
      </c>
      <c r="O353" s="13">
        <v>41717</v>
      </c>
      <c r="P353" s="13">
        <v>41717</v>
      </c>
    </row>
    <row r="354" spans="1:16">
      <c r="A354" s="10">
        <v>2014</v>
      </c>
      <c r="B354" s="11" t="s">
        <v>489</v>
      </c>
      <c r="C354" s="11" t="s">
        <v>490</v>
      </c>
      <c r="D354" s="12">
        <v>1002052</v>
      </c>
      <c r="E354" s="12">
        <v>2</v>
      </c>
      <c r="F354" s="12"/>
      <c r="G354" s="12">
        <v>90</v>
      </c>
      <c r="H354" s="12">
        <v>1.2</v>
      </c>
      <c r="I354" s="12"/>
      <c r="J354" s="12" t="s">
        <v>53</v>
      </c>
      <c r="K354" s="12" t="b">
        <v>1</v>
      </c>
      <c r="L354" s="12">
        <v>1</v>
      </c>
      <c r="M354" s="8">
        <v>2015</v>
      </c>
      <c r="N354" s="9">
        <v>0</v>
      </c>
      <c r="O354" s="13">
        <v>41717</v>
      </c>
      <c r="P354" s="13">
        <v>41717</v>
      </c>
    </row>
    <row r="355" spans="1:16">
      <c r="A355" s="10">
        <v>2014</v>
      </c>
      <c r="B355" s="11" t="s">
        <v>489</v>
      </c>
      <c r="C355" s="11" t="s">
        <v>490</v>
      </c>
      <c r="D355" s="12">
        <v>1002052</v>
      </c>
      <c r="E355" s="12">
        <v>2</v>
      </c>
      <c r="F355" s="12"/>
      <c r="G355" s="12">
        <v>740</v>
      </c>
      <c r="H355" s="12" t="s">
        <v>109</v>
      </c>
      <c r="I355" s="12"/>
      <c r="J355" s="12" t="s">
        <v>110</v>
      </c>
      <c r="K355" s="12" t="b">
        <v>0</v>
      </c>
      <c r="L355" s="12">
        <v>0</v>
      </c>
      <c r="M355" s="8">
        <v>2014</v>
      </c>
      <c r="N355" s="9">
        <v>222217.77</v>
      </c>
      <c r="O355" s="13">
        <v>41717</v>
      </c>
      <c r="P355" s="13">
        <v>41717</v>
      </c>
    </row>
    <row r="356" spans="1:16">
      <c r="A356" s="10">
        <v>2014</v>
      </c>
      <c r="B356" s="11" t="s">
        <v>489</v>
      </c>
      <c r="C356" s="11" t="s">
        <v>490</v>
      </c>
      <c r="D356" s="12">
        <v>1002052</v>
      </c>
      <c r="E356" s="12">
        <v>2</v>
      </c>
      <c r="F356" s="12"/>
      <c r="G356" s="12">
        <v>765</v>
      </c>
      <c r="H356" s="12">
        <v>12.6</v>
      </c>
      <c r="I356" s="12"/>
      <c r="J356" s="12" t="s">
        <v>408</v>
      </c>
      <c r="K356" s="12" t="b">
        <v>1</v>
      </c>
      <c r="L356" s="12">
        <v>1</v>
      </c>
      <c r="M356" s="8">
        <v>2015</v>
      </c>
      <c r="N356" s="9">
        <v>0</v>
      </c>
      <c r="O356" s="13">
        <v>41717</v>
      </c>
      <c r="P356" s="13">
        <v>41717</v>
      </c>
    </row>
    <row r="357" spans="1:16">
      <c r="A357" s="10">
        <v>2014</v>
      </c>
      <c r="B357" s="11" t="s">
        <v>489</v>
      </c>
      <c r="C357" s="11" t="s">
        <v>490</v>
      </c>
      <c r="D357" s="12">
        <v>1002052</v>
      </c>
      <c r="E357" s="12">
        <v>2</v>
      </c>
      <c r="F357" s="12"/>
      <c r="G357" s="12">
        <v>80</v>
      </c>
      <c r="H357" s="12" t="s">
        <v>51</v>
      </c>
      <c r="I357" s="12"/>
      <c r="J357" s="12" t="s">
        <v>52</v>
      </c>
      <c r="K357" s="12" t="b">
        <v>1</v>
      </c>
      <c r="L357" s="12">
        <v>1</v>
      </c>
      <c r="M357" s="8">
        <v>2015</v>
      </c>
      <c r="N357" s="9">
        <v>1350903</v>
      </c>
      <c r="O357" s="13">
        <v>41717</v>
      </c>
      <c r="P357" s="13">
        <v>41717</v>
      </c>
    </row>
    <row r="358" spans="1:16">
      <c r="A358" s="10">
        <v>2014</v>
      </c>
      <c r="B358" s="11" t="s">
        <v>489</v>
      </c>
      <c r="C358" s="11" t="s">
        <v>490</v>
      </c>
      <c r="D358" s="12">
        <v>1002052</v>
      </c>
      <c r="E358" s="12">
        <v>2</v>
      </c>
      <c r="F358" s="12"/>
      <c r="G358" s="12">
        <v>500</v>
      </c>
      <c r="H358" s="12">
        <v>9.4</v>
      </c>
      <c r="I358" s="12" t="s">
        <v>390</v>
      </c>
      <c r="J358" s="12" t="s">
        <v>391</v>
      </c>
      <c r="K358" s="12" t="b">
        <v>0</v>
      </c>
      <c r="L358" s="12">
        <v>2</v>
      </c>
      <c r="M358" s="8">
        <v>2016</v>
      </c>
      <c r="N358" s="9">
        <v>0</v>
      </c>
      <c r="O358" s="13">
        <v>41717</v>
      </c>
      <c r="P358" s="13">
        <v>41717</v>
      </c>
    </row>
    <row r="359" spans="1:16">
      <c r="A359" s="10">
        <v>2014</v>
      </c>
      <c r="B359" s="11" t="s">
        <v>489</v>
      </c>
      <c r="C359" s="11" t="s">
        <v>490</v>
      </c>
      <c r="D359" s="12">
        <v>1002052</v>
      </c>
      <c r="E359" s="12">
        <v>2</v>
      </c>
      <c r="F359" s="12"/>
      <c r="G359" s="12">
        <v>290</v>
      </c>
      <c r="H359" s="12" t="s">
        <v>75</v>
      </c>
      <c r="I359" s="12"/>
      <c r="J359" s="12" t="s">
        <v>71</v>
      </c>
      <c r="K359" s="12" t="b">
        <v>0</v>
      </c>
      <c r="L359" s="12">
        <v>1</v>
      </c>
      <c r="M359" s="8">
        <v>2015</v>
      </c>
      <c r="N359" s="9">
        <v>0</v>
      </c>
      <c r="O359" s="13">
        <v>41717</v>
      </c>
      <c r="P359" s="13">
        <v>41717</v>
      </c>
    </row>
    <row r="360" spans="1:16">
      <c r="A360" s="10">
        <v>2014</v>
      </c>
      <c r="B360" s="11" t="s">
        <v>489</v>
      </c>
      <c r="C360" s="11" t="s">
        <v>490</v>
      </c>
      <c r="D360" s="12">
        <v>1002052</v>
      </c>
      <c r="E360" s="12">
        <v>2</v>
      </c>
      <c r="F360" s="12"/>
      <c r="G360" s="12">
        <v>440</v>
      </c>
      <c r="H360" s="12">
        <v>9</v>
      </c>
      <c r="I360" s="12"/>
      <c r="J360" s="12" t="s">
        <v>149</v>
      </c>
      <c r="K360" s="12" t="b">
        <v>0</v>
      </c>
      <c r="L360" s="12">
        <v>2</v>
      </c>
      <c r="M360" s="8">
        <v>2016</v>
      </c>
      <c r="N360" s="9">
        <v>0</v>
      </c>
      <c r="O360" s="13">
        <v>41717</v>
      </c>
      <c r="P360" s="13">
        <v>41717</v>
      </c>
    </row>
    <row r="361" spans="1:16">
      <c r="A361" s="10">
        <v>2014</v>
      </c>
      <c r="B361" s="11" t="s">
        <v>489</v>
      </c>
      <c r="C361" s="11" t="s">
        <v>490</v>
      </c>
      <c r="D361" s="12">
        <v>1002052</v>
      </c>
      <c r="E361" s="12">
        <v>2</v>
      </c>
      <c r="F361" s="12"/>
      <c r="G361" s="12">
        <v>900</v>
      </c>
      <c r="H361" s="12">
        <v>14.3</v>
      </c>
      <c r="I361" s="12"/>
      <c r="J361" s="12" t="s">
        <v>129</v>
      </c>
      <c r="K361" s="12" t="b">
        <v>1</v>
      </c>
      <c r="L361" s="12">
        <v>2</v>
      </c>
      <c r="M361" s="8">
        <v>2016</v>
      </c>
      <c r="N361" s="9">
        <v>0</v>
      </c>
      <c r="O361" s="13">
        <v>41717</v>
      </c>
      <c r="P361" s="13">
        <v>41717</v>
      </c>
    </row>
    <row r="362" spans="1:16">
      <c r="A362" s="10">
        <v>2014</v>
      </c>
      <c r="B362" s="11" t="s">
        <v>489</v>
      </c>
      <c r="C362" s="11" t="s">
        <v>490</v>
      </c>
      <c r="D362" s="12">
        <v>1002052</v>
      </c>
      <c r="E362" s="12">
        <v>2</v>
      </c>
      <c r="F362" s="12"/>
      <c r="G362" s="12">
        <v>590</v>
      </c>
      <c r="H362" s="12">
        <v>11.2</v>
      </c>
      <c r="I362" s="12"/>
      <c r="J362" s="12" t="s">
        <v>89</v>
      </c>
      <c r="K362" s="12" t="b">
        <v>1</v>
      </c>
      <c r="L362" s="12">
        <v>0</v>
      </c>
      <c r="M362" s="8">
        <v>2014</v>
      </c>
      <c r="N362" s="9">
        <v>1555803</v>
      </c>
      <c r="O362" s="13">
        <v>41717</v>
      </c>
      <c r="P362" s="13">
        <v>41717</v>
      </c>
    </row>
    <row r="363" spans="1:16">
      <c r="A363" s="10">
        <v>2014</v>
      </c>
      <c r="B363" s="11" t="s">
        <v>489</v>
      </c>
      <c r="C363" s="11" t="s">
        <v>490</v>
      </c>
      <c r="D363" s="12">
        <v>1002052</v>
      </c>
      <c r="E363" s="12">
        <v>2</v>
      </c>
      <c r="F363" s="12"/>
      <c r="G363" s="12">
        <v>520</v>
      </c>
      <c r="H363" s="12" t="s">
        <v>83</v>
      </c>
      <c r="I363" s="12"/>
      <c r="J363" s="12" t="s">
        <v>396</v>
      </c>
      <c r="K363" s="12" t="b">
        <v>1</v>
      </c>
      <c r="L363" s="12">
        <v>0</v>
      </c>
      <c r="M363" s="8">
        <v>2014</v>
      </c>
      <c r="N363" s="9">
        <v>0.1867</v>
      </c>
      <c r="O363" s="13">
        <v>41717</v>
      </c>
      <c r="P363" s="13">
        <v>41717</v>
      </c>
    </row>
    <row r="364" spans="1:16">
      <c r="A364" s="10">
        <v>2014</v>
      </c>
      <c r="B364" s="11" t="s">
        <v>489</v>
      </c>
      <c r="C364" s="11" t="s">
        <v>490</v>
      </c>
      <c r="D364" s="12">
        <v>1002052</v>
      </c>
      <c r="E364" s="12">
        <v>2</v>
      </c>
      <c r="F364" s="12"/>
      <c r="G364" s="12">
        <v>180</v>
      </c>
      <c r="H364" s="12" t="s">
        <v>64</v>
      </c>
      <c r="I364" s="12"/>
      <c r="J364" s="12" t="s">
        <v>367</v>
      </c>
      <c r="K364" s="12" t="b">
        <v>0</v>
      </c>
      <c r="L364" s="12">
        <v>3</v>
      </c>
      <c r="M364" s="8">
        <v>2017</v>
      </c>
      <c r="N364" s="9">
        <v>0</v>
      </c>
      <c r="O364" s="13">
        <v>41717</v>
      </c>
      <c r="P364" s="13">
        <v>41717</v>
      </c>
    </row>
    <row r="365" spans="1:16">
      <c r="A365" s="10">
        <v>2014</v>
      </c>
      <c r="B365" s="11" t="s">
        <v>489</v>
      </c>
      <c r="C365" s="11" t="s">
        <v>490</v>
      </c>
      <c r="D365" s="12">
        <v>1002052</v>
      </c>
      <c r="E365" s="12">
        <v>2</v>
      </c>
      <c r="F365" s="12"/>
      <c r="G365" s="12">
        <v>763</v>
      </c>
      <c r="H365" s="12">
        <v>12.5</v>
      </c>
      <c r="I365" s="12"/>
      <c r="J365" s="12" t="s">
        <v>404</v>
      </c>
      <c r="K365" s="12" t="b">
        <v>1</v>
      </c>
      <c r="L365" s="12">
        <v>0</v>
      </c>
      <c r="M365" s="8">
        <v>2014</v>
      </c>
      <c r="N365" s="9">
        <v>0</v>
      </c>
      <c r="O365" s="13">
        <v>41717</v>
      </c>
      <c r="P365" s="13">
        <v>41717</v>
      </c>
    </row>
    <row r="366" spans="1:16">
      <c r="A366" s="10">
        <v>2014</v>
      </c>
      <c r="B366" s="11" t="s">
        <v>489</v>
      </c>
      <c r="C366" s="11" t="s">
        <v>490</v>
      </c>
      <c r="D366" s="12">
        <v>1002052</v>
      </c>
      <c r="E366" s="12">
        <v>2</v>
      </c>
      <c r="F366" s="12"/>
      <c r="G366" s="12">
        <v>770</v>
      </c>
      <c r="H366" s="12" t="s">
        <v>415</v>
      </c>
      <c r="I366" s="12"/>
      <c r="J366" s="12" t="s">
        <v>406</v>
      </c>
      <c r="K366" s="12" t="b">
        <v>1</v>
      </c>
      <c r="L366" s="12">
        <v>3</v>
      </c>
      <c r="M366" s="8">
        <v>2017</v>
      </c>
      <c r="N366" s="9">
        <v>0</v>
      </c>
      <c r="O366" s="13">
        <v>41717</v>
      </c>
      <c r="P366" s="13">
        <v>41717</v>
      </c>
    </row>
    <row r="367" spans="1:16">
      <c r="A367" s="10">
        <v>2014</v>
      </c>
      <c r="B367" s="11" t="s">
        <v>489</v>
      </c>
      <c r="C367" s="11" t="s">
        <v>490</v>
      </c>
      <c r="D367" s="12">
        <v>1002052</v>
      </c>
      <c r="E367" s="12">
        <v>2</v>
      </c>
      <c r="F367" s="12"/>
      <c r="G367" s="12">
        <v>336</v>
      </c>
      <c r="H367" s="12" t="s">
        <v>380</v>
      </c>
      <c r="I367" s="12"/>
      <c r="J367" s="12" t="s">
        <v>381</v>
      </c>
      <c r="K367" s="12" t="b">
        <v>1</v>
      </c>
      <c r="L367" s="12">
        <v>1</v>
      </c>
      <c r="M367" s="8">
        <v>2015</v>
      </c>
      <c r="N367" s="9">
        <v>0</v>
      </c>
      <c r="O367" s="13">
        <v>41717</v>
      </c>
      <c r="P367" s="13">
        <v>41717</v>
      </c>
    </row>
    <row r="368" spans="1:16">
      <c r="A368" s="10">
        <v>2014</v>
      </c>
      <c r="B368" s="11" t="s">
        <v>489</v>
      </c>
      <c r="C368" s="11" t="s">
        <v>490</v>
      </c>
      <c r="D368" s="12">
        <v>1002052</v>
      </c>
      <c r="E368" s="12">
        <v>2</v>
      </c>
      <c r="F368" s="12"/>
      <c r="G368" s="12">
        <v>960</v>
      </c>
      <c r="H368" s="12">
        <v>15.1</v>
      </c>
      <c r="I368" s="12"/>
      <c r="J368" s="12" t="s">
        <v>419</v>
      </c>
      <c r="K368" s="12" t="b">
        <v>1</v>
      </c>
      <c r="L368" s="12">
        <v>0</v>
      </c>
      <c r="M368" s="8">
        <v>2014</v>
      </c>
      <c r="N368" s="9">
        <v>0</v>
      </c>
      <c r="O368" s="13">
        <v>41717</v>
      </c>
      <c r="P368" s="13">
        <v>41717</v>
      </c>
    </row>
    <row r="369" spans="1:16">
      <c r="A369" s="10">
        <v>2014</v>
      </c>
      <c r="B369" s="11" t="s">
        <v>489</v>
      </c>
      <c r="C369" s="11" t="s">
        <v>490</v>
      </c>
      <c r="D369" s="12">
        <v>1002052</v>
      </c>
      <c r="E369" s="12">
        <v>2</v>
      </c>
      <c r="F369" s="12"/>
      <c r="G369" s="12">
        <v>60</v>
      </c>
      <c r="H369" s="12" t="s">
        <v>47</v>
      </c>
      <c r="I369" s="12"/>
      <c r="J369" s="12" t="s">
        <v>48</v>
      </c>
      <c r="K369" s="12" t="b">
        <v>1</v>
      </c>
      <c r="L369" s="12">
        <v>1</v>
      </c>
      <c r="M369" s="8">
        <v>2015</v>
      </c>
      <c r="N369" s="9">
        <v>1674000</v>
      </c>
      <c r="O369" s="13">
        <v>41717</v>
      </c>
      <c r="P369" s="13">
        <v>41717</v>
      </c>
    </row>
    <row r="370" spans="1:16">
      <c r="A370" s="10">
        <v>2014</v>
      </c>
      <c r="B370" s="11" t="s">
        <v>489</v>
      </c>
      <c r="C370" s="11" t="s">
        <v>490</v>
      </c>
      <c r="D370" s="12">
        <v>1002052</v>
      </c>
      <c r="E370" s="12">
        <v>2</v>
      </c>
      <c r="F370" s="12"/>
      <c r="G370" s="12">
        <v>980</v>
      </c>
      <c r="H370" s="12">
        <v>15.2</v>
      </c>
      <c r="I370" s="12"/>
      <c r="J370" s="12" t="s">
        <v>423</v>
      </c>
      <c r="K370" s="12" t="b">
        <v>1</v>
      </c>
      <c r="L370" s="12">
        <v>2</v>
      </c>
      <c r="M370" s="8">
        <v>2016</v>
      </c>
      <c r="N370" s="9">
        <v>0</v>
      </c>
      <c r="O370" s="13">
        <v>41717</v>
      </c>
      <c r="P370" s="13">
        <v>41717</v>
      </c>
    </row>
    <row r="371" spans="1:16">
      <c r="A371" s="10">
        <v>2014</v>
      </c>
      <c r="B371" s="11" t="s">
        <v>489</v>
      </c>
      <c r="C371" s="11" t="s">
        <v>490</v>
      </c>
      <c r="D371" s="12">
        <v>1002052</v>
      </c>
      <c r="E371" s="12">
        <v>2</v>
      </c>
      <c r="F371" s="12"/>
      <c r="G371" s="12">
        <v>540</v>
      </c>
      <c r="H371" s="12" t="s">
        <v>84</v>
      </c>
      <c r="I371" s="12" t="s">
        <v>399</v>
      </c>
      <c r="J371" s="12" t="s">
        <v>400</v>
      </c>
      <c r="K371" s="12" t="b">
        <v>0</v>
      </c>
      <c r="L371" s="12">
        <v>0</v>
      </c>
      <c r="M371" s="8">
        <v>2014</v>
      </c>
      <c r="N371" s="9">
        <v>1303</v>
      </c>
      <c r="O371" s="13">
        <v>41717</v>
      </c>
      <c r="P371" s="13">
        <v>41717</v>
      </c>
    </row>
    <row r="372" spans="1:16">
      <c r="A372" s="10">
        <v>2014</v>
      </c>
      <c r="B372" s="11" t="s">
        <v>489</v>
      </c>
      <c r="C372" s="11" t="s">
        <v>490</v>
      </c>
      <c r="D372" s="12">
        <v>1002052</v>
      </c>
      <c r="E372" s="12">
        <v>2</v>
      </c>
      <c r="F372" s="12"/>
      <c r="G372" s="12">
        <v>660</v>
      </c>
      <c r="H372" s="12">
        <v>12</v>
      </c>
      <c r="I372" s="12"/>
      <c r="J372" s="12" t="s">
        <v>97</v>
      </c>
      <c r="K372" s="12" t="b">
        <v>1</v>
      </c>
      <c r="L372" s="12">
        <v>2</v>
      </c>
      <c r="M372" s="8">
        <v>2016</v>
      </c>
      <c r="N372" s="9">
        <v>0</v>
      </c>
      <c r="O372" s="13">
        <v>41717</v>
      </c>
      <c r="P372" s="13">
        <v>41717</v>
      </c>
    </row>
    <row r="373" spans="1:16">
      <c r="A373" s="10">
        <v>2014</v>
      </c>
      <c r="B373" s="11" t="s">
        <v>489</v>
      </c>
      <c r="C373" s="11" t="s">
        <v>490</v>
      </c>
      <c r="D373" s="12">
        <v>1002052</v>
      </c>
      <c r="E373" s="12">
        <v>2</v>
      </c>
      <c r="F373" s="12"/>
      <c r="G373" s="12">
        <v>600</v>
      </c>
      <c r="H373" s="12">
        <v>11.3</v>
      </c>
      <c r="I373" s="12" t="s">
        <v>401</v>
      </c>
      <c r="J373" s="12" t="s">
        <v>402</v>
      </c>
      <c r="K373" s="12" t="b">
        <v>1</v>
      </c>
      <c r="L373" s="12">
        <v>2</v>
      </c>
      <c r="M373" s="8">
        <v>2016</v>
      </c>
      <c r="N373" s="9">
        <v>0</v>
      </c>
      <c r="O373" s="13">
        <v>41717</v>
      </c>
      <c r="P373" s="13">
        <v>41717</v>
      </c>
    </row>
    <row r="374" spans="1:16">
      <c r="A374" s="10">
        <v>2014</v>
      </c>
      <c r="B374" s="11" t="s">
        <v>489</v>
      </c>
      <c r="C374" s="11" t="s">
        <v>490</v>
      </c>
      <c r="D374" s="12">
        <v>1002052</v>
      </c>
      <c r="E374" s="12">
        <v>2</v>
      </c>
      <c r="F374" s="12"/>
      <c r="G374" s="12">
        <v>610</v>
      </c>
      <c r="H374" s="12" t="s">
        <v>90</v>
      </c>
      <c r="I374" s="12"/>
      <c r="J374" s="12" t="s">
        <v>91</v>
      </c>
      <c r="K374" s="12" t="b">
        <v>1</v>
      </c>
      <c r="L374" s="12">
        <v>2</v>
      </c>
      <c r="M374" s="8">
        <v>2016</v>
      </c>
      <c r="N374" s="9">
        <v>0</v>
      </c>
      <c r="O374" s="13">
        <v>41717</v>
      </c>
      <c r="P374" s="13">
        <v>41717</v>
      </c>
    </row>
    <row r="375" spans="1:16">
      <c r="A375" s="10">
        <v>2014</v>
      </c>
      <c r="B375" s="11" t="s">
        <v>489</v>
      </c>
      <c r="C375" s="11" t="s">
        <v>490</v>
      </c>
      <c r="D375" s="12">
        <v>1002052</v>
      </c>
      <c r="E375" s="12">
        <v>2</v>
      </c>
      <c r="F375" s="12"/>
      <c r="G375" s="12">
        <v>550</v>
      </c>
      <c r="H375" s="12">
        <v>10</v>
      </c>
      <c r="I375" s="12"/>
      <c r="J375" s="12" t="s">
        <v>85</v>
      </c>
      <c r="K375" s="12" t="b">
        <v>0</v>
      </c>
      <c r="L375" s="12">
        <v>3</v>
      </c>
      <c r="M375" s="8">
        <v>2017</v>
      </c>
      <c r="N375" s="9">
        <v>0</v>
      </c>
      <c r="O375" s="13">
        <v>41717</v>
      </c>
      <c r="P375" s="13">
        <v>41717</v>
      </c>
    </row>
    <row r="376" spans="1:16">
      <c r="A376" s="10">
        <v>2014</v>
      </c>
      <c r="B376" s="11" t="s">
        <v>489</v>
      </c>
      <c r="C376" s="11" t="s">
        <v>490</v>
      </c>
      <c r="D376" s="12">
        <v>1002052</v>
      </c>
      <c r="E376" s="12">
        <v>2</v>
      </c>
      <c r="F376" s="12"/>
      <c r="G376" s="12">
        <v>750</v>
      </c>
      <c r="H376" s="12" t="s">
        <v>111</v>
      </c>
      <c r="I376" s="12"/>
      <c r="J376" s="12" t="s">
        <v>112</v>
      </c>
      <c r="K376" s="12" t="b">
        <v>0</v>
      </c>
      <c r="L376" s="12">
        <v>2</v>
      </c>
      <c r="M376" s="8">
        <v>2016</v>
      </c>
      <c r="N376" s="9">
        <v>0</v>
      </c>
      <c r="O376" s="13">
        <v>41717</v>
      </c>
      <c r="P376" s="13">
        <v>41717</v>
      </c>
    </row>
    <row r="377" spans="1:16">
      <c r="A377" s="10">
        <v>2014</v>
      </c>
      <c r="B377" s="11" t="s">
        <v>489</v>
      </c>
      <c r="C377" s="11" t="s">
        <v>490</v>
      </c>
      <c r="D377" s="12">
        <v>1002052</v>
      </c>
      <c r="E377" s="12">
        <v>2</v>
      </c>
      <c r="F377" s="12"/>
      <c r="G377" s="12">
        <v>182</v>
      </c>
      <c r="H377" s="12" t="s">
        <v>368</v>
      </c>
      <c r="I377" s="12"/>
      <c r="J377" s="12" t="s">
        <v>369</v>
      </c>
      <c r="K377" s="12" t="b">
        <v>0</v>
      </c>
      <c r="L377" s="12">
        <v>3</v>
      </c>
      <c r="M377" s="8">
        <v>2017</v>
      </c>
      <c r="N377" s="9">
        <v>0</v>
      </c>
      <c r="O377" s="13">
        <v>41717</v>
      </c>
      <c r="P377" s="13">
        <v>41717</v>
      </c>
    </row>
    <row r="378" spans="1:16">
      <c r="A378" s="10">
        <v>2014</v>
      </c>
      <c r="B378" s="11" t="s">
        <v>489</v>
      </c>
      <c r="C378" s="11" t="s">
        <v>490</v>
      </c>
      <c r="D378" s="12">
        <v>1002052</v>
      </c>
      <c r="E378" s="12">
        <v>2</v>
      </c>
      <c r="F378" s="12"/>
      <c r="G378" s="12">
        <v>767</v>
      </c>
      <c r="H378" s="12">
        <v>12.7</v>
      </c>
      <c r="I378" s="12"/>
      <c r="J378" s="12" t="s">
        <v>411</v>
      </c>
      <c r="K378" s="12" t="b">
        <v>1</v>
      </c>
      <c r="L378" s="12">
        <v>2</v>
      </c>
      <c r="M378" s="8">
        <v>2016</v>
      </c>
      <c r="N378" s="9">
        <v>0</v>
      </c>
      <c r="O378" s="13">
        <v>41717</v>
      </c>
      <c r="P378" s="13">
        <v>41717</v>
      </c>
    </row>
    <row r="379" spans="1:16">
      <c r="A379" s="10">
        <v>2014</v>
      </c>
      <c r="B379" s="11" t="s">
        <v>489</v>
      </c>
      <c r="C379" s="11" t="s">
        <v>490</v>
      </c>
      <c r="D379" s="12">
        <v>1002052</v>
      </c>
      <c r="E379" s="12">
        <v>2</v>
      </c>
      <c r="F379" s="12"/>
      <c r="G379" s="12">
        <v>960</v>
      </c>
      <c r="H379" s="12">
        <v>15.1</v>
      </c>
      <c r="I379" s="12"/>
      <c r="J379" s="12" t="s">
        <v>419</v>
      </c>
      <c r="K379" s="12" t="b">
        <v>1</v>
      </c>
      <c r="L379" s="12">
        <v>3</v>
      </c>
      <c r="M379" s="8">
        <v>2017</v>
      </c>
      <c r="N379" s="9">
        <v>0</v>
      </c>
      <c r="O379" s="13">
        <v>41717</v>
      </c>
      <c r="P379" s="13">
        <v>41717</v>
      </c>
    </row>
    <row r="380" spans="1:16">
      <c r="A380" s="10">
        <v>2014</v>
      </c>
      <c r="B380" s="11" t="s">
        <v>489</v>
      </c>
      <c r="C380" s="11" t="s">
        <v>490</v>
      </c>
      <c r="D380" s="12">
        <v>1002052</v>
      </c>
      <c r="E380" s="12">
        <v>2</v>
      </c>
      <c r="F380" s="12"/>
      <c r="G380" s="12">
        <v>830</v>
      </c>
      <c r="H380" s="12">
        <v>13.4</v>
      </c>
      <c r="I380" s="12"/>
      <c r="J380" s="12" t="s">
        <v>122</v>
      </c>
      <c r="K380" s="12" t="b">
        <v>1</v>
      </c>
      <c r="L380" s="12">
        <v>3</v>
      </c>
      <c r="M380" s="8">
        <v>2017</v>
      </c>
      <c r="N380" s="9">
        <v>0</v>
      </c>
      <c r="O380" s="13">
        <v>41717</v>
      </c>
      <c r="P380" s="13">
        <v>41717</v>
      </c>
    </row>
    <row r="381" spans="1:16">
      <c r="A381" s="10">
        <v>2014</v>
      </c>
      <c r="B381" s="11" t="s">
        <v>489</v>
      </c>
      <c r="C381" s="11" t="s">
        <v>490</v>
      </c>
      <c r="D381" s="12">
        <v>1002052</v>
      </c>
      <c r="E381" s="12">
        <v>2</v>
      </c>
      <c r="F381" s="12"/>
      <c r="G381" s="12">
        <v>290</v>
      </c>
      <c r="H381" s="12" t="s">
        <v>75</v>
      </c>
      <c r="I381" s="12"/>
      <c r="J381" s="12" t="s">
        <v>71</v>
      </c>
      <c r="K381" s="12" t="b">
        <v>0</v>
      </c>
      <c r="L381" s="12">
        <v>0</v>
      </c>
      <c r="M381" s="8">
        <v>2014</v>
      </c>
      <c r="N381" s="9">
        <v>0</v>
      </c>
      <c r="O381" s="13">
        <v>41717</v>
      </c>
      <c r="P381" s="13">
        <v>41717</v>
      </c>
    </row>
    <row r="382" spans="1:16">
      <c r="A382" s="10">
        <v>2014</v>
      </c>
      <c r="B382" s="11" t="s">
        <v>489</v>
      </c>
      <c r="C382" s="11" t="s">
        <v>490</v>
      </c>
      <c r="D382" s="12">
        <v>1002052</v>
      </c>
      <c r="E382" s="12">
        <v>2</v>
      </c>
      <c r="F382" s="12"/>
      <c r="G382" s="12">
        <v>200</v>
      </c>
      <c r="H382" s="12">
        <v>3</v>
      </c>
      <c r="I382" s="12" t="s">
        <v>372</v>
      </c>
      <c r="J382" s="12" t="s">
        <v>21</v>
      </c>
      <c r="K382" s="12" t="b">
        <v>0</v>
      </c>
      <c r="L382" s="12">
        <v>3</v>
      </c>
      <c r="M382" s="8">
        <v>2017</v>
      </c>
      <c r="N382" s="9">
        <v>0</v>
      </c>
      <c r="O382" s="13">
        <v>41717</v>
      </c>
      <c r="P382" s="13">
        <v>41717</v>
      </c>
    </row>
    <row r="383" spans="1:16">
      <c r="A383" s="10">
        <v>2014</v>
      </c>
      <c r="B383" s="11" t="s">
        <v>489</v>
      </c>
      <c r="C383" s="11" t="s">
        <v>490</v>
      </c>
      <c r="D383" s="12">
        <v>1002052</v>
      </c>
      <c r="E383" s="12">
        <v>2</v>
      </c>
      <c r="F383" s="12"/>
      <c r="G383" s="12">
        <v>650</v>
      </c>
      <c r="H383" s="12">
        <v>11.6</v>
      </c>
      <c r="I383" s="12"/>
      <c r="J383" s="12" t="s">
        <v>96</v>
      </c>
      <c r="K383" s="12" t="b">
        <v>1</v>
      </c>
      <c r="L383" s="12">
        <v>2</v>
      </c>
      <c r="M383" s="8">
        <v>2016</v>
      </c>
      <c r="N383" s="9">
        <v>0</v>
      </c>
      <c r="O383" s="13">
        <v>41717</v>
      </c>
      <c r="P383" s="13">
        <v>41717</v>
      </c>
    </row>
    <row r="384" spans="1:16">
      <c r="A384" s="10">
        <v>2014</v>
      </c>
      <c r="B384" s="11" t="s">
        <v>489</v>
      </c>
      <c r="C384" s="11" t="s">
        <v>490</v>
      </c>
      <c r="D384" s="12">
        <v>1002052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395</v>
      </c>
      <c r="K384" s="12" t="b">
        <v>1</v>
      </c>
      <c r="L384" s="12">
        <v>0</v>
      </c>
      <c r="M384" s="8">
        <v>2014</v>
      </c>
      <c r="N384" s="9">
        <v>0.18890000000000001</v>
      </c>
      <c r="O384" s="13">
        <v>41717</v>
      </c>
      <c r="P384" s="13">
        <v>41717</v>
      </c>
    </row>
    <row r="385" spans="1:16">
      <c r="A385" s="10">
        <v>2014</v>
      </c>
      <c r="B385" s="11" t="s">
        <v>489</v>
      </c>
      <c r="C385" s="11" t="s">
        <v>490</v>
      </c>
      <c r="D385" s="12">
        <v>1002052</v>
      </c>
      <c r="E385" s="12">
        <v>2</v>
      </c>
      <c r="F385" s="12"/>
      <c r="G385" s="12">
        <v>420</v>
      </c>
      <c r="H385" s="12">
        <v>8.1</v>
      </c>
      <c r="I385" s="12" t="s">
        <v>382</v>
      </c>
      <c r="J385" s="12" t="s">
        <v>82</v>
      </c>
      <c r="K385" s="12" t="b">
        <v>0</v>
      </c>
      <c r="L385" s="12">
        <v>2</v>
      </c>
      <c r="M385" s="8">
        <v>2016</v>
      </c>
      <c r="N385" s="9">
        <v>2682000</v>
      </c>
      <c r="O385" s="13">
        <v>41717</v>
      </c>
      <c r="P385" s="13">
        <v>41717</v>
      </c>
    </row>
    <row r="386" spans="1:16">
      <c r="A386" s="10">
        <v>2014</v>
      </c>
      <c r="B386" s="11" t="s">
        <v>489</v>
      </c>
      <c r="C386" s="11" t="s">
        <v>490</v>
      </c>
      <c r="D386" s="12">
        <v>1002052</v>
      </c>
      <c r="E386" s="12">
        <v>2</v>
      </c>
      <c r="F386" s="12"/>
      <c r="G386" s="12">
        <v>40</v>
      </c>
      <c r="H386" s="12" t="s">
        <v>43</v>
      </c>
      <c r="I386" s="12"/>
      <c r="J386" s="12" t="s">
        <v>44</v>
      </c>
      <c r="K386" s="12" t="b">
        <v>1</v>
      </c>
      <c r="L386" s="12">
        <v>1</v>
      </c>
      <c r="M386" s="8">
        <v>2015</v>
      </c>
      <c r="N386" s="9">
        <v>1000</v>
      </c>
      <c r="O386" s="13">
        <v>41717</v>
      </c>
      <c r="P386" s="13">
        <v>41717</v>
      </c>
    </row>
    <row r="387" spans="1:16">
      <c r="A387" s="10">
        <v>2014</v>
      </c>
      <c r="B387" s="11" t="s">
        <v>489</v>
      </c>
      <c r="C387" s="11" t="s">
        <v>490</v>
      </c>
      <c r="D387" s="12">
        <v>1002052</v>
      </c>
      <c r="E387" s="12">
        <v>2</v>
      </c>
      <c r="F387" s="12"/>
      <c r="G387" s="12">
        <v>761</v>
      </c>
      <c r="H387" s="12" t="s">
        <v>114</v>
      </c>
      <c r="I387" s="12"/>
      <c r="J387" s="12" t="s">
        <v>115</v>
      </c>
      <c r="K387" s="12" t="b">
        <v>1</v>
      </c>
      <c r="L387" s="12">
        <v>0</v>
      </c>
      <c r="M387" s="8">
        <v>2014</v>
      </c>
      <c r="N387" s="9">
        <v>0</v>
      </c>
      <c r="O387" s="13">
        <v>41717</v>
      </c>
      <c r="P387" s="13">
        <v>41717</v>
      </c>
    </row>
    <row r="388" spans="1:16">
      <c r="A388" s="10">
        <v>2014</v>
      </c>
      <c r="B388" s="11" t="s">
        <v>489</v>
      </c>
      <c r="C388" s="11" t="s">
        <v>490</v>
      </c>
      <c r="D388" s="12">
        <v>1002052</v>
      </c>
      <c r="E388" s="12">
        <v>2</v>
      </c>
      <c r="F388" s="12"/>
      <c r="G388" s="12">
        <v>150</v>
      </c>
      <c r="H388" s="12" t="s">
        <v>61</v>
      </c>
      <c r="I388" s="12"/>
      <c r="J388" s="12" t="s">
        <v>364</v>
      </c>
      <c r="K388" s="12" t="b">
        <v>1</v>
      </c>
      <c r="L388" s="12">
        <v>2</v>
      </c>
      <c r="M388" s="8">
        <v>2016</v>
      </c>
      <c r="N388" s="9">
        <v>0</v>
      </c>
      <c r="O388" s="13">
        <v>41717</v>
      </c>
      <c r="P388" s="13">
        <v>41717</v>
      </c>
    </row>
    <row r="389" spans="1:16">
      <c r="A389" s="10">
        <v>2014</v>
      </c>
      <c r="B389" s="11" t="s">
        <v>489</v>
      </c>
      <c r="C389" s="11" t="s">
        <v>490</v>
      </c>
      <c r="D389" s="12">
        <v>1002052</v>
      </c>
      <c r="E389" s="12">
        <v>2</v>
      </c>
      <c r="F389" s="12"/>
      <c r="G389" s="12">
        <v>540</v>
      </c>
      <c r="H389" s="12" t="s">
        <v>84</v>
      </c>
      <c r="I389" s="12" t="s">
        <v>399</v>
      </c>
      <c r="J389" s="12" t="s">
        <v>400</v>
      </c>
      <c r="K389" s="12" t="b">
        <v>0</v>
      </c>
      <c r="L389" s="12">
        <v>1</v>
      </c>
      <c r="M389" s="8">
        <v>2015</v>
      </c>
      <c r="N389" s="9">
        <v>2157</v>
      </c>
      <c r="O389" s="13">
        <v>41717</v>
      </c>
      <c r="P389" s="13">
        <v>41717</v>
      </c>
    </row>
    <row r="390" spans="1:16">
      <c r="A390" s="10">
        <v>2014</v>
      </c>
      <c r="B390" s="11" t="s">
        <v>489</v>
      </c>
      <c r="C390" s="11" t="s">
        <v>490</v>
      </c>
      <c r="D390" s="12">
        <v>1002052</v>
      </c>
      <c r="E390" s="12">
        <v>2</v>
      </c>
      <c r="F390" s="12"/>
      <c r="G390" s="12">
        <v>20</v>
      </c>
      <c r="H390" s="12">
        <v>1.1000000000000001</v>
      </c>
      <c r="I390" s="12"/>
      <c r="J390" s="12" t="s">
        <v>40</v>
      </c>
      <c r="K390" s="12" t="b">
        <v>1</v>
      </c>
      <c r="L390" s="12">
        <v>1</v>
      </c>
      <c r="M390" s="8">
        <v>2015</v>
      </c>
      <c r="N390" s="9">
        <v>10825000</v>
      </c>
      <c r="O390" s="13">
        <v>41717</v>
      </c>
      <c r="P390" s="13">
        <v>41717</v>
      </c>
    </row>
    <row r="391" spans="1:16">
      <c r="A391" s="10">
        <v>2014</v>
      </c>
      <c r="B391" s="11" t="s">
        <v>489</v>
      </c>
      <c r="C391" s="11" t="s">
        <v>490</v>
      </c>
      <c r="D391" s="12">
        <v>1002052</v>
      </c>
      <c r="E391" s="12">
        <v>2</v>
      </c>
      <c r="F391" s="12"/>
      <c r="G391" s="12">
        <v>710</v>
      </c>
      <c r="H391" s="12" t="s">
        <v>104</v>
      </c>
      <c r="I391" s="12"/>
      <c r="J391" s="12" t="s">
        <v>105</v>
      </c>
      <c r="K391" s="12" t="b">
        <v>0</v>
      </c>
      <c r="L391" s="12">
        <v>1</v>
      </c>
      <c r="M391" s="8">
        <v>2015</v>
      </c>
      <c r="N391" s="9">
        <v>0</v>
      </c>
      <c r="O391" s="13">
        <v>41717</v>
      </c>
      <c r="P391" s="13">
        <v>41717</v>
      </c>
    </row>
    <row r="392" spans="1:16">
      <c r="A392" s="10">
        <v>2014</v>
      </c>
      <c r="B392" s="11" t="s">
        <v>489</v>
      </c>
      <c r="C392" s="11" t="s">
        <v>490</v>
      </c>
      <c r="D392" s="12">
        <v>1002052</v>
      </c>
      <c r="E392" s="12">
        <v>2</v>
      </c>
      <c r="F392" s="12"/>
      <c r="G392" s="12">
        <v>70</v>
      </c>
      <c r="H392" s="12" t="s">
        <v>49</v>
      </c>
      <c r="I392" s="12"/>
      <c r="J392" s="12" t="s">
        <v>50</v>
      </c>
      <c r="K392" s="12" t="b">
        <v>1</v>
      </c>
      <c r="L392" s="12">
        <v>1</v>
      </c>
      <c r="M392" s="8">
        <v>2015</v>
      </c>
      <c r="N392" s="9">
        <v>3294922</v>
      </c>
      <c r="O392" s="13">
        <v>41717</v>
      </c>
      <c r="P392" s="13">
        <v>41717</v>
      </c>
    </row>
    <row r="393" spans="1:16">
      <c r="A393" s="10">
        <v>2014</v>
      </c>
      <c r="B393" s="11" t="s">
        <v>489</v>
      </c>
      <c r="C393" s="11" t="s">
        <v>490</v>
      </c>
      <c r="D393" s="12">
        <v>1002052</v>
      </c>
      <c r="E393" s="12">
        <v>2</v>
      </c>
      <c r="F393" s="12"/>
      <c r="G393" s="12">
        <v>820</v>
      </c>
      <c r="H393" s="12">
        <v>13.3</v>
      </c>
      <c r="I393" s="12"/>
      <c r="J393" s="12" t="s">
        <v>121</v>
      </c>
      <c r="K393" s="12" t="b">
        <v>1</v>
      </c>
      <c r="L393" s="12">
        <v>3</v>
      </c>
      <c r="M393" s="8">
        <v>2017</v>
      </c>
      <c r="N393" s="9">
        <v>0</v>
      </c>
      <c r="O393" s="13">
        <v>41717</v>
      </c>
      <c r="P393" s="13">
        <v>41717</v>
      </c>
    </row>
    <row r="394" spans="1:16">
      <c r="A394" s="10">
        <v>2014</v>
      </c>
      <c r="B394" s="11" t="s">
        <v>489</v>
      </c>
      <c r="C394" s="11" t="s">
        <v>490</v>
      </c>
      <c r="D394" s="12">
        <v>1002052</v>
      </c>
      <c r="E394" s="12">
        <v>2</v>
      </c>
      <c r="F394" s="12"/>
      <c r="G394" s="12">
        <v>250</v>
      </c>
      <c r="H394" s="12" t="s">
        <v>70</v>
      </c>
      <c r="I394" s="12"/>
      <c r="J394" s="12" t="s">
        <v>71</v>
      </c>
      <c r="K394" s="12" t="b">
        <v>0</v>
      </c>
      <c r="L394" s="12">
        <v>1</v>
      </c>
      <c r="M394" s="8">
        <v>2015</v>
      </c>
      <c r="N394" s="9">
        <v>0</v>
      </c>
      <c r="O394" s="13">
        <v>41717</v>
      </c>
      <c r="P394" s="13">
        <v>41717</v>
      </c>
    </row>
    <row r="395" spans="1:16">
      <c r="A395" s="10">
        <v>2014</v>
      </c>
      <c r="B395" s="11" t="s">
        <v>489</v>
      </c>
      <c r="C395" s="11" t="s">
        <v>490</v>
      </c>
      <c r="D395" s="12">
        <v>1002052</v>
      </c>
      <c r="E395" s="12">
        <v>2</v>
      </c>
      <c r="F395" s="12"/>
      <c r="G395" s="12">
        <v>332</v>
      </c>
      <c r="H395" s="12" t="s">
        <v>79</v>
      </c>
      <c r="I395" s="12"/>
      <c r="J395" s="12" t="s">
        <v>377</v>
      </c>
      <c r="K395" s="12" t="b">
        <v>1</v>
      </c>
      <c r="L395" s="12">
        <v>3</v>
      </c>
      <c r="M395" s="8">
        <v>2017</v>
      </c>
      <c r="N395" s="9">
        <v>0</v>
      </c>
      <c r="O395" s="13">
        <v>41717</v>
      </c>
      <c r="P395" s="13">
        <v>41717</v>
      </c>
    </row>
    <row r="396" spans="1:16">
      <c r="A396" s="10">
        <v>2014</v>
      </c>
      <c r="B396" s="11" t="s">
        <v>489</v>
      </c>
      <c r="C396" s="11" t="s">
        <v>490</v>
      </c>
      <c r="D396" s="12">
        <v>1002052</v>
      </c>
      <c r="E396" s="12">
        <v>2</v>
      </c>
      <c r="F396" s="12"/>
      <c r="G396" s="12">
        <v>480</v>
      </c>
      <c r="H396" s="12">
        <v>9.1999999999999993</v>
      </c>
      <c r="I396" s="12" t="s">
        <v>387</v>
      </c>
      <c r="J396" s="12" t="s">
        <v>388</v>
      </c>
      <c r="K396" s="12" t="b">
        <v>0</v>
      </c>
      <c r="L396" s="12">
        <v>0</v>
      </c>
      <c r="M396" s="8">
        <v>2014</v>
      </c>
      <c r="N396" s="9">
        <v>5.6399999999999999E-2</v>
      </c>
      <c r="O396" s="13">
        <v>41717</v>
      </c>
      <c r="P396" s="13">
        <v>41717</v>
      </c>
    </row>
    <row r="397" spans="1:16">
      <c r="A397" s="10">
        <v>2014</v>
      </c>
      <c r="B397" s="11" t="s">
        <v>489</v>
      </c>
      <c r="C397" s="11" t="s">
        <v>490</v>
      </c>
      <c r="D397" s="12">
        <v>1002052</v>
      </c>
      <c r="E397" s="12">
        <v>2</v>
      </c>
      <c r="F397" s="12"/>
      <c r="G397" s="12">
        <v>700</v>
      </c>
      <c r="H397" s="12">
        <v>12.2</v>
      </c>
      <c r="I397" s="12"/>
      <c r="J397" s="12" t="s">
        <v>103</v>
      </c>
      <c r="K397" s="12" t="b">
        <v>0</v>
      </c>
      <c r="L397" s="12">
        <v>3</v>
      </c>
      <c r="M397" s="8">
        <v>2017</v>
      </c>
      <c r="N397" s="9">
        <v>0</v>
      </c>
      <c r="O397" s="13">
        <v>41717</v>
      </c>
      <c r="P397" s="13">
        <v>41717</v>
      </c>
    </row>
    <row r="398" spans="1:16">
      <c r="A398" s="10">
        <v>2014</v>
      </c>
      <c r="B398" s="11" t="s">
        <v>489</v>
      </c>
      <c r="C398" s="11" t="s">
        <v>490</v>
      </c>
      <c r="D398" s="12">
        <v>1002052</v>
      </c>
      <c r="E398" s="12">
        <v>2</v>
      </c>
      <c r="F398" s="12"/>
      <c r="G398" s="12">
        <v>20</v>
      </c>
      <c r="H398" s="12">
        <v>1.1000000000000001</v>
      </c>
      <c r="I398" s="12"/>
      <c r="J398" s="12" t="s">
        <v>40</v>
      </c>
      <c r="K398" s="12" t="b">
        <v>1</v>
      </c>
      <c r="L398" s="12">
        <v>2</v>
      </c>
      <c r="M398" s="8">
        <v>2016</v>
      </c>
      <c r="N398" s="9">
        <v>12050000</v>
      </c>
      <c r="O398" s="13">
        <v>41717</v>
      </c>
      <c r="P398" s="13">
        <v>41717</v>
      </c>
    </row>
    <row r="399" spans="1:16">
      <c r="A399" s="10">
        <v>2014</v>
      </c>
      <c r="B399" s="11" t="s">
        <v>489</v>
      </c>
      <c r="C399" s="11" t="s">
        <v>490</v>
      </c>
      <c r="D399" s="12">
        <v>1002052</v>
      </c>
      <c r="E399" s="12">
        <v>2</v>
      </c>
      <c r="F399" s="12"/>
      <c r="G399" s="12">
        <v>210</v>
      </c>
      <c r="H399" s="12">
        <v>4</v>
      </c>
      <c r="I399" s="12" t="s">
        <v>373</v>
      </c>
      <c r="J399" s="12" t="s">
        <v>22</v>
      </c>
      <c r="K399" s="12" t="b">
        <v>0</v>
      </c>
      <c r="L399" s="12">
        <v>3</v>
      </c>
      <c r="M399" s="8">
        <v>2017</v>
      </c>
      <c r="N399" s="9">
        <v>0</v>
      </c>
      <c r="O399" s="13">
        <v>41717</v>
      </c>
      <c r="P399" s="13">
        <v>41717</v>
      </c>
    </row>
    <row r="400" spans="1:16">
      <c r="A400" s="10">
        <v>2014</v>
      </c>
      <c r="B400" s="11" t="s">
        <v>489</v>
      </c>
      <c r="C400" s="11" t="s">
        <v>490</v>
      </c>
      <c r="D400" s="12">
        <v>1002052</v>
      </c>
      <c r="E400" s="12">
        <v>2</v>
      </c>
      <c r="F400" s="12"/>
      <c r="G400" s="12">
        <v>810</v>
      </c>
      <c r="H400" s="12">
        <v>13.2</v>
      </c>
      <c r="I400" s="12"/>
      <c r="J400" s="12" t="s">
        <v>120</v>
      </c>
      <c r="K400" s="12" t="b">
        <v>1</v>
      </c>
      <c r="L400" s="12">
        <v>1</v>
      </c>
      <c r="M400" s="8">
        <v>2015</v>
      </c>
      <c r="N400" s="9">
        <v>0</v>
      </c>
      <c r="O400" s="13">
        <v>41717</v>
      </c>
      <c r="P400" s="13">
        <v>41717</v>
      </c>
    </row>
    <row r="401" spans="1:16">
      <c r="A401" s="10">
        <v>2014</v>
      </c>
      <c r="B401" s="11" t="s">
        <v>489</v>
      </c>
      <c r="C401" s="11" t="s">
        <v>490</v>
      </c>
      <c r="D401" s="12">
        <v>1002052</v>
      </c>
      <c r="E401" s="12">
        <v>2</v>
      </c>
      <c r="F401" s="12"/>
      <c r="G401" s="12">
        <v>769</v>
      </c>
      <c r="H401" s="12">
        <v>12.8</v>
      </c>
      <c r="I401" s="12"/>
      <c r="J401" s="12" t="s">
        <v>414</v>
      </c>
      <c r="K401" s="12" t="b">
        <v>1</v>
      </c>
      <c r="L401" s="12">
        <v>1</v>
      </c>
      <c r="M401" s="8">
        <v>2015</v>
      </c>
      <c r="N401" s="9">
        <v>0</v>
      </c>
      <c r="O401" s="13">
        <v>41717</v>
      </c>
      <c r="P401" s="13">
        <v>41717</v>
      </c>
    </row>
    <row r="402" spans="1:16">
      <c r="A402" s="10">
        <v>2014</v>
      </c>
      <c r="B402" s="11" t="s">
        <v>489</v>
      </c>
      <c r="C402" s="11" t="s">
        <v>490</v>
      </c>
      <c r="D402" s="12">
        <v>1002052</v>
      </c>
      <c r="E402" s="12">
        <v>2</v>
      </c>
      <c r="F402" s="12"/>
      <c r="G402" s="12">
        <v>280</v>
      </c>
      <c r="H402" s="12">
        <v>4.4000000000000004</v>
      </c>
      <c r="I402" s="12"/>
      <c r="J402" s="12" t="s">
        <v>74</v>
      </c>
      <c r="K402" s="12" t="b">
        <v>0</v>
      </c>
      <c r="L402" s="12">
        <v>3</v>
      </c>
      <c r="M402" s="8">
        <v>2017</v>
      </c>
      <c r="N402" s="9">
        <v>0</v>
      </c>
      <c r="O402" s="13">
        <v>41717</v>
      </c>
      <c r="P402" s="13">
        <v>41717</v>
      </c>
    </row>
    <row r="403" spans="1:16">
      <c r="A403" s="10">
        <v>2014</v>
      </c>
      <c r="B403" s="11" t="s">
        <v>489</v>
      </c>
      <c r="C403" s="11" t="s">
        <v>490</v>
      </c>
      <c r="D403" s="12">
        <v>1002052</v>
      </c>
      <c r="E403" s="12">
        <v>2</v>
      </c>
      <c r="F403" s="12"/>
      <c r="G403" s="12">
        <v>250</v>
      </c>
      <c r="H403" s="12" t="s">
        <v>70</v>
      </c>
      <c r="I403" s="12"/>
      <c r="J403" s="12" t="s">
        <v>71</v>
      </c>
      <c r="K403" s="12" t="b">
        <v>0</v>
      </c>
      <c r="L403" s="12">
        <v>0</v>
      </c>
      <c r="M403" s="8">
        <v>2014</v>
      </c>
      <c r="N403" s="9">
        <v>0</v>
      </c>
      <c r="O403" s="13">
        <v>41717</v>
      </c>
      <c r="P403" s="13">
        <v>41717</v>
      </c>
    </row>
    <row r="404" spans="1:16">
      <c r="A404" s="10">
        <v>2014</v>
      </c>
      <c r="B404" s="11" t="s">
        <v>489</v>
      </c>
      <c r="C404" s="11" t="s">
        <v>490</v>
      </c>
      <c r="D404" s="12">
        <v>1002052</v>
      </c>
      <c r="E404" s="12">
        <v>2</v>
      </c>
      <c r="F404" s="12"/>
      <c r="G404" s="12">
        <v>520</v>
      </c>
      <c r="H404" s="12" t="s">
        <v>83</v>
      </c>
      <c r="I404" s="12"/>
      <c r="J404" s="12" t="s">
        <v>396</v>
      </c>
      <c r="K404" s="12" t="b">
        <v>1</v>
      </c>
      <c r="L404" s="12">
        <v>1</v>
      </c>
      <c r="M404" s="8">
        <v>2015</v>
      </c>
      <c r="N404" s="9">
        <v>0.2157</v>
      </c>
      <c r="O404" s="13">
        <v>41717</v>
      </c>
      <c r="P404" s="13">
        <v>41717</v>
      </c>
    </row>
    <row r="405" spans="1:16">
      <c r="A405" s="10">
        <v>2014</v>
      </c>
      <c r="B405" s="11" t="s">
        <v>489</v>
      </c>
      <c r="C405" s="11" t="s">
        <v>490</v>
      </c>
      <c r="D405" s="12">
        <v>1002052</v>
      </c>
      <c r="E405" s="12">
        <v>2</v>
      </c>
      <c r="F405" s="12"/>
      <c r="G405" s="12">
        <v>334</v>
      </c>
      <c r="H405" s="12" t="s">
        <v>378</v>
      </c>
      <c r="I405" s="12"/>
      <c r="J405" s="12" t="s">
        <v>379</v>
      </c>
      <c r="K405" s="12" t="b">
        <v>1</v>
      </c>
      <c r="L405" s="12">
        <v>2</v>
      </c>
      <c r="M405" s="8">
        <v>2016</v>
      </c>
      <c r="N405" s="9">
        <v>0</v>
      </c>
      <c r="O405" s="13">
        <v>41717</v>
      </c>
      <c r="P405" s="13">
        <v>41717</v>
      </c>
    </row>
    <row r="406" spans="1:16">
      <c r="A406" s="10">
        <v>2014</v>
      </c>
      <c r="B406" s="11" t="s">
        <v>489</v>
      </c>
      <c r="C406" s="11" t="s">
        <v>490</v>
      </c>
      <c r="D406" s="12">
        <v>1002052</v>
      </c>
      <c r="E406" s="12">
        <v>2</v>
      </c>
      <c r="F406" s="12"/>
      <c r="G406" s="12">
        <v>430</v>
      </c>
      <c r="H406" s="12">
        <v>8.1999999999999993</v>
      </c>
      <c r="I406" s="12" t="s">
        <v>383</v>
      </c>
      <c r="J406" s="12" t="s">
        <v>384</v>
      </c>
      <c r="K406" s="12" t="b">
        <v>0</v>
      </c>
      <c r="L406" s="12">
        <v>3</v>
      </c>
      <c r="M406" s="8">
        <v>2017</v>
      </c>
      <c r="N406" s="9">
        <v>2570000</v>
      </c>
      <c r="O406" s="13">
        <v>41717</v>
      </c>
      <c r="P406" s="13">
        <v>41717</v>
      </c>
    </row>
    <row r="407" spans="1:16">
      <c r="A407" s="10">
        <v>2014</v>
      </c>
      <c r="B407" s="11" t="s">
        <v>489</v>
      </c>
      <c r="C407" s="11" t="s">
        <v>490</v>
      </c>
      <c r="D407" s="12">
        <v>1002052</v>
      </c>
      <c r="E407" s="12">
        <v>2</v>
      </c>
      <c r="F407" s="12"/>
      <c r="G407" s="12">
        <v>180</v>
      </c>
      <c r="H407" s="12" t="s">
        <v>64</v>
      </c>
      <c r="I407" s="12"/>
      <c r="J407" s="12" t="s">
        <v>367</v>
      </c>
      <c r="K407" s="12" t="b">
        <v>0</v>
      </c>
      <c r="L407" s="12">
        <v>1</v>
      </c>
      <c r="M407" s="8">
        <v>2015</v>
      </c>
      <c r="N407" s="9">
        <v>0</v>
      </c>
      <c r="O407" s="13">
        <v>41717</v>
      </c>
      <c r="P407" s="13">
        <v>41717</v>
      </c>
    </row>
    <row r="408" spans="1:16">
      <c r="A408" s="10">
        <v>2014</v>
      </c>
      <c r="B408" s="11" t="s">
        <v>489</v>
      </c>
      <c r="C408" s="11" t="s">
        <v>490</v>
      </c>
      <c r="D408" s="12">
        <v>1002052</v>
      </c>
      <c r="E408" s="12">
        <v>2</v>
      </c>
      <c r="F408" s="12"/>
      <c r="G408" s="12">
        <v>310</v>
      </c>
      <c r="H408" s="12">
        <v>5.0999999999999996</v>
      </c>
      <c r="I408" s="12"/>
      <c r="J408" s="12" t="s">
        <v>77</v>
      </c>
      <c r="K408" s="12" t="b">
        <v>1</v>
      </c>
      <c r="L408" s="12">
        <v>3</v>
      </c>
      <c r="M408" s="8">
        <v>2017</v>
      </c>
      <c r="N408" s="9">
        <v>0</v>
      </c>
      <c r="O408" s="13">
        <v>41717</v>
      </c>
      <c r="P408" s="13">
        <v>41717</v>
      </c>
    </row>
    <row r="409" spans="1:16">
      <c r="A409" s="10">
        <v>2014</v>
      </c>
      <c r="B409" s="11" t="s">
        <v>489</v>
      </c>
      <c r="C409" s="11" t="s">
        <v>490</v>
      </c>
      <c r="D409" s="12">
        <v>1002052</v>
      </c>
      <c r="E409" s="12">
        <v>2</v>
      </c>
      <c r="F409" s="12"/>
      <c r="G409" s="12">
        <v>790</v>
      </c>
      <c r="H409" s="12">
        <v>13</v>
      </c>
      <c r="I409" s="12"/>
      <c r="J409" s="12" t="s">
        <v>118</v>
      </c>
      <c r="K409" s="12" t="b">
        <v>1</v>
      </c>
      <c r="L409" s="12">
        <v>1</v>
      </c>
      <c r="M409" s="8">
        <v>2015</v>
      </c>
      <c r="N409" s="9">
        <v>0</v>
      </c>
      <c r="O409" s="13">
        <v>41717</v>
      </c>
      <c r="P409" s="13">
        <v>41717</v>
      </c>
    </row>
    <row r="410" spans="1:16">
      <c r="A410" s="10">
        <v>2014</v>
      </c>
      <c r="B410" s="11" t="s">
        <v>489</v>
      </c>
      <c r="C410" s="11" t="s">
        <v>490</v>
      </c>
      <c r="D410" s="12">
        <v>1002052</v>
      </c>
      <c r="E410" s="12">
        <v>2</v>
      </c>
      <c r="F410" s="12"/>
      <c r="G410" s="12">
        <v>660</v>
      </c>
      <c r="H410" s="12">
        <v>12</v>
      </c>
      <c r="I410" s="12"/>
      <c r="J410" s="12" t="s">
        <v>97</v>
      </c>
      <c r="K410" s="12" t="b">
        <v>1</v>
      </c>
      <c r="L410" s="12">
        <v>3</v>
      </c>
      <c r="M410" s="8">
        <v>2017</v>
      </c>
      <c r="N410" s="9">
        <v>0</v>
      </c>
      <c r="O410" s="13">
        <v>41717</v>
      </c>
      <c r="P410" s="13">
        <v>41717</v>
      </c>
    </row>
    <row r="411" spans="1:16">
      <c r="A411" s="10">
        <v>2014</v>
      </c>
      <c r="B411" s="11" t="s">
        <v>489</v>
      </c>
      <c r="C411" s="11" t="s">
        <v>490</v>
      </c>
      <c r="D411" s="12">
        <v>1002052</v>
      </c>
      <c r="E411" s="12">
        <v>2</v>
      </c>
      <c r="F411" s="12"/>
      <c r="G411" s="12">
        <v>410</v>
      </c>
      <c r="H411" s="12">
        <v>8</v>
      </c>
      <c r="I411" s="12"/>
      <c r="J411" s="12" t="s">
        <v>146</v>
      </c>
      <c r="K411" s="12" t="b">
        <v>1</v>
      </c>
      <c r="L411" s="12">
        <v>3</v>
      </c>
      <c r="M411" s="8">
        <v>2017</v>
      </c>
      <c r="N411" s="9">
        <v>0</v>
      </c>
      <c r="O411" s="13">
        <v>41717</v>
      </c>
      <c r="P411" s="13">
        <v>41717</v>
      </c>
    </row>
    <row r="412" spans="1:16">
      <c r="A412" s="10">
        <v>2014</v>
      </c>
      <c r="B412" s="11" t="s">
        <v>489</v>
      </c>
      <c r="C412" s="11" t="s">
        <v>490</v>
      </c>
      <c r="D412" s="12">
        <v>1002052</v>
      </c>
      <c r="E412" s="12">
        <v>2</v>
      </c>
      <c r="F412" s="12"/>
      <c r="G412" s="12">
        <v>332</v>
      </c>
      <c r="H412" s="12" t="s">
        <v>79</v>
      </c>
      <c r="I412" s="12"/>
      <c r="J412" s="12" t="s">
        <v>377</v>
      </c>
      <c r="K412" s="12" t="b">
        <v>1</v>
      </c>
      <c r="L412" s="12">
        <v>1</v>
      </c>
      <c r="M412" s="8">
        <v>2015</v>
      </c>
      <c r="N412" s="9">
        <v>0</v>
      </c>
      <c r="O412" s="13">
        <v>41717</v>
      </c>
      <c r="P412" s="13">
        <v>41717</v>
      </c>
    </row>
    <row r="413" spans="1:16">
      <c r="A413" s="10">
        <v>2014</v>
      </c>
      <c r="B413" s="11" t="s">
        <v>489</v>
      </c>
      <c r="C413" s="11" t="s">
        <v>490</v>
      </c>
      <c r="D413" s="12">
        <v>1002052</v>
      </c>
      <c r="E413" s="12">
        <v>2</v>
      </c>
      <c r="F413" s="12"/>
      <c r="G413" s="12">
        <v>590</v>
      </c>
      <c r="H413" s="12">
        <v>11.2</v>
      </c>
      <c r="I413" s="12"/>
      <c r="J413" s="12" t="s">
        <v>89</v>
      </c>
      <c r="K413" s="12" t="b">
        <v>1</v>
      </c>
      <c r="L413" s="12">
        <v>3</v>
      </c>
      <c r="M413" s="8">
        <v>2017</v>
      </c>
      <c r="N413" s="9">
        <v>1585800</v>
      </c>
      <c r="O413" s="13">
        <v>41717</v>
      </c>
      <c r="P413" s="13">
        <v>41717</v>
      </c>
    </row>
    <row r="414" spans="1:16">
      <c r="A414" s="10">
        <v>2014</v>
      </c>
      <c r="B414" s="11" t="s">
        <v>489</v>
      </c>
      <c r="C414" s="11" t="s">
        <v>490</v>
      </c>
      <c r="D414" s="12">
        <v>1002052</v>
      </c>
      <c r="E414" s="12">
        <v>2</v>
      </c>
      <c r="F414" s="12"/>
      <c r="G414" s="12">
        <v>680</v>
      </c>
      <c r="H414" s="12" t="s">
        <v>99</v>
      </c>
      <c r="I414" s="12"/>
      <c r="J414" s="12" t="s">
        <v>100</v>
      </c>
      <c r="K414" s="12" t="b">
        <v>1</v>
      </c>
      <c r="L414" s="12">
        <v>2</v>
      </c>
      <c r="M414" s="8">
        <v>2016</v>
      </c>
      <c r="N414" s="9">
        <v>0</v>
      </c>
      <c r="O414" s="13">
        <v>41717</v>
      </c>
      <c r="P414" s="13">
        <v>41717</v>
      </c>
    </row>
    <row r="415" spans="1:16">
      <c r="A415" s="10">
        <v>2014</v>
      </c>
      <c r="B415" s="11" t="s">
        <v>489</v>
      </c>
      <c r="C415" s="11" t="s">
        <v>490</v>
      </c>
      <c r="D415" s="12">
        <v>1002052</v>
      </c>
      <c r="E415" s="12">
        <v>2</v>
      </c>
      <c r="F415" s="12"/>
      <c r="G415" s="12">
        <v>50</v>
      </c>
      <c r="H415" s="12" t="s">
        <v>45</v>
      </c>
      <c r="I415" s="12"/>
      <c r="J415" s="12" t="s">
        <v>46</v>
      </c>
      <c r="K415" s="12" t="b">
        <v>1</v>
      </c>
      <c r="L415" s="12">
        <v>2</v>
      </c>
      <c r="M415" s="8">
        <v>2016</v>
      </c>
      <c r="N415" s="9">
        <v>5356000</v>
      </c>
      <c r="O415" s="13">
        <v>41717</v>
      </c>
      <c r="P415" s="13">
        <v>41717</v>
      </c>
    </row>
    <row r="416" spans="1:16">
      <c r="A416" s="10">
        <v>2014</v>
      </c>
      <c r="B416" s="11" t="s">
        <v>489</v>
      </c>
      <c r="C416" s="11" t="s">
        <v>490</v>
      </c>
      <c r="D416" s="12">
        <v>1002052</v>
      </c>
      <c r="E416" s="12">
        <v>2</v>
      </c>
      <c r="F416" s="12"/>
      <c r="G416" s="12">
        <v>610</v>
      </c>
      <c r="H416" s="12" t="s">
        <v>90</v>
      </c>
      <c r="I416" s="12"/>
      <c r="J416" s="12" t="s">
        <v>91</v>
      </c>
      <c r="K416" s="12" t="b">
        <v>1</v>
      </c>
      <c r="L416" s="12">
        <v>3</v>
      </c>
      <c r="M416" s="8">
        <v>2017</v>
      </c>
      <c r="N416" s="9">
        <v>0</v>
      </c>
      <c r="O416" s="13">
        <v>41717</v>
      </c>
      <c r="P416" s="13">
        <v>41717</v>
      </c>
    </row>
    <row r="417" spans="1:16">
      <c r="A417" s="10">
        <v>2014</v>
      </c>
      <c r="B417" s="11" t="s">
        <v>489</v>
      </c>
      <c r="C417" s="11" t="s">
        <v>490</v>
      </c>
      <c r="D417" s="12">
        <v>1002052</v>
      </c>
      <c r="E417" s="12">
        <v>2</v>
      </c>
      <c r="F417" s="12"/>
      <c r="G417" s="12">
        <v>840</v>
      </c>
      <c r="H417" s="12">
        <v>13.5</v>
      </c>
      <c r="I417" s="12"/>
      <c r="J417" s="12" t="s">
        <v>123</v>
      </c>
      <c r="K417" s="12" t="b">
        <v>1</v>
      </c>
      <c r="L417" s="12">
        <v>0</v>
      </c>
      <c r="M417" s="8">
        <v>2014</v>
      </c>
      <c r="N417" s="9">
        <v>0</v>
      </c>
      <c r="O417" s="13">
        <v>41717</v>
      </c>
      <c r="P417" s="13">
        <v>41717</v>
      </c>
    </row>
    <row r="418" spans="1:16">
      <c r="A418" s="10">
        <v>2014</v>
      </c>
      <c r="B418" s="11" t="s">
        <v>489</v>
      </c>
      <c r="C418" s="11" t="s">
        <v>490</v>
      </c>
      <c r="D418" s="12">
        <v>1002052</v>
      </c>
      <c r="E418" s="12">
        <v>2</v>
      </c>
      <c r="F418" s="12"/>
      <c r="G418" s="12">
        <v>980</v>
      </c>
      <c r="H418" s="12">
        <v>15.2</v>
      </c>
      <c r="I418" s="12"/>
      <c r="J418" s="12" t="s">
        <v>423</v>
      </c>
      <c r="K418" s="12" t="b">
        <v>1</v>
      </c>
      <c r="L418" s="12">
        <v>3</v>
      </c>
      <c r="M418" s="8">
        <v>2017</v>
      </c>
      <c r="N418" s="9">
        <v>0</v>
      </c>
      <c r="O418" s="13">
        <v>41717</v>
      </c>
      <c r="P418" s="13">
        <v>41717</v>
      </c>
    </row>
    <row r="419" spans="1:16">
      <c r="A419" s="10">
        <v>2014</v>
      </c>
      <c r="B419" s="11" t="s">
        <v>489</v>
      </c>
      <c r="C419" s="11" t="s">
        <v>490</v>
      </c>
      <c r="D419" s="12">
        <v>1002052</v>
      </c>
      <c r="E419" s="12">
        <v>2</v>
      </c>
      <c r="F419" s="12"/>
      <c r="G419" s="12">
        <v>160</v>
      </c>
      <c r="H419" s="12" t="s">
        <v>62</v>
      </c>
      <c r="I419" s="12"/>
      <c r="J419" s="12" t="s">
        <v>365</v>
      </c>
      <c r="K419" s="12" t="b">
        <v>1</v>
      </c>
      <c r="L419" s="12">
        <v>3</v>
      </c>
      <c r="M419" s="8">
        <v>2017</v>
      </c>
      <c r="N419" s="9">
        <v>0</v>
      </c>
      <c r="O419" s="13">
        <v>41717</v>
      </c>
      <c r="P419" s="13">
        <v>41717</v>
      </c>
    </row>
    <row r="420" spans="1:16">
      <c r="A420" s="10">
        <v>2014</v>
      </c>
      <c r="B420" s="11" t="s">
        <v>489</v>
      </c>
      <c r="C420" s="11" t="s">
        <v>490</v>
      </c>
      <c r="D420" s="12">
        <v>1002052</v>
      </c>
      <c r="E420" s="12">
        <v>2</v>
      </c>
      <c r="F420" s="12"/>
      <c r="G420" s="12">
        <v>762</v>
      </c>
      <c r="H420" s="12" t="s">
        <v>116</v>
      </c>
      <c r="I420" s="12"/>
      <c r="J420" s="12" t="s">
        <v>117</v>
      </c>
      <c r="K420" s="12" t="b">
        <v>1</v>
      </c>
      <c r="L420" s="12">
        <v>2</v>
      </c>
      <c r="M420" s="8">
        <v>2016</v>
      </c>
      <c r="N420" s="9">
        <v>0</v>
      </c>
      <c r="O420" s="13">
        <v>41717</v>
      </c>
      <c r="P420" s="13">
        <v>41717</v>
      </c>
    </row>
    <row r="421" spans="1:16">
      <c r="A421" s="10">
        <v>2014</v>
      </c>
      <c r="B421" s="11" t="s">
        <v>489</v>
      </c>
      <c r="C421" s="11" t="s">
        <v>490</v>
      </c>
      <c r="D421" s="12">
        <v>1002052</v>
      </c>
      <c r="E421" s="12">
        <v>2</v>
      </c>
      <c r="F421" s="12"/>
      <c r="G421" s="12">
        <v>100</v>
      </c>
      <c r="H421" s="12" t="s">
        <v>54</v>
      </c>
      <c r="I421" s="12"/>
      <c r="J421" s="12" t="s">
        <v>55</v>
      </c>
      <c r="K421" s="12" t="b">
        <v>1</v>
      </c>
      <c r="L421" s="12">
        <v>2</v>
      </c>
      <c r="M421" s="8">
        <v>2016</v>
      </c>
      <c r="N421" s="9">
        <v>0</v>
      </c>
      <c r="O421" s="13">
        <v>41717</v>
      </c>
      <c r="P421" s="13">
        <v>41717</v>
      </c>
    </row>
    <row r="422" spans="1:16">
      <c r="A422" s="10">
        <v>2014</v>
      </c>
      <c r="B422" s="11" t="s">
        <v>489</v>
      </c>
      <c r="C422" s="11" t="s">
        <v>490</v>
      </c>
      <c r="D422" s="12">
        <v>1002052</v>
      </c>
      <c r="E422" s="12">
        <v>2</v>
      </c>
      <c r="F422" s="12"/>
      <c r="G422" s="12">
        <v>510</v>
      </c>
      <c r="H422" s="12">
        <v>9.6</v>
      </c>
      <c r="I422" s="12"/>
      <c r="J422" s="12" t="s">
        <v>395</v>
      </c>
      <c r="K422" s="12" t="b">
        <v>1</v>
      </c>
      <c r="L422" s="12">
        <v>3</v>
      </c>
      <c r="M422" s="8">
        <v>2017</v>
      </c>
      <c r="N422" s="9">
        <v>0.18679999999999999</v>
      </c>
      <c r="O422" s="13">
        <v>41717</v>
      </c>
      <c r="P422" s="13">
        <v>41717</v>
      </c>
    </row>
    <row r="423" spans="1:16">
      <c r="A423" s="10">
        <v>2014</v>
      </c>
      <c r="B423" s="11" t="s">
        <v>489</v>
      </c>
      <c r="C423" s="11" t="s">
        <v>490</v>
      </c>
      <c r="D423" s="12">
        <v>1002052</v>
      </c>
      <c r="E423" s="12">
        <v>2</v>
      </c>
      <c r="F423" s="12"/>
      <c r="G423" s="12">
        <v>730</v>
      </c>
      <c r="H423" s="12">
        <v>12.3</v>
      </c>
      <c r="I423" s="12"/>
      <c r="J423" s="12" t="s">
        <v>108</v>
      </c>
      <c r="K423" s="12" t="b">
        <v>0</v>
      </c>
      <c r="L423" s="12">
        <v>0</v>
      </c>
      <c r="M423" s="8">
        <v>2014</v>
      </c>
      <c r="N423" s="9">
        <v>261432.67</v>
      </c>
      <c r="O423" s="13">
        <v>41717</v>
      </c>
      <c r="P423" s="13">
        <v>41717</v>
      </c>
    </row>
  </sheetData>
  <sheetCalcPr fullCalcOnLoad="1"/>
  <customSheetViews>
    <customSheetView guid="{9360F695-77C0-4418-82C5-829A762C44E9}" state="hidden">
      <selection activeCell="G1" sqref="G1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S423"/>
  <sheetViews>
    <sheetView workbookViewId="0">
      <selection activeCell="S4" sqref="S4:S423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4" max="17" width="16.875" customWidth="1"/>
  </cols>
  <sheetData>
    <row r="1" spans="1:19" ht="15">
      <c r="A1" s="3" t="s">
        <v>23</v>
      </c>
      <c r="M1" s="7" t="s">
        <v>26</v>
      </c>
      <c r="N1" s="14">
        <f>MIN(M:M)</f>
        <v>2014</v>
      </c>
      <c r="O1" s="14"/>
      <c r="P1" s="14"/>
      <c r="Q1" s="14"/>
    </row>
    <row r="3" spans="1:19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358</v>
      </c>
      <c r="M3" s="5" t="s">
        <v>13</v>
      </c>
      <c r="N3" s="5" t="s">
        <v>179</v>
      </c>
      <c r="O3" s="5" t="s">
        <v>180</v>
      </c>
      <c r="P3" s="5" t="s">
        <v>182</v>
      </c>
      <c r="Q3" s="5" t="s">
        <v>181</v>
      </c>
      <c r="R3" s="5" t="s">
        <v>17</v>
      </c>
      <c r="S3" s="5" t="s">
        <v>18</v>
      </c>
    </row>
    <row r="4" spans="1:19">
      <c r="A4" s="10">
        <v>2014</v>
      </c>
      <c r="B4" s="11" t="s">
        <v>489</v>
      </c>
      <c r="C4" s="11" t="s">
        <v>490</v>
      </c>
      <c r="D4" s="12">
        <v>1002052</v>
      </c>
      <c r="E4" s="12">
        <v>2</v>
      </c>
      <c r="F4" s="12"/>
      <c r="G4" s="12">
        <v>768</v>
      </c>
      <c r="H4" s="12" t="s">
        <v>412</v>
      </c>
      <c r="I4" s="12"/>
      <c r="J4" s="12" t="s">
        <v>406</v>
      </c>
      <c r="K4" s="12" t="b">
        <v>1</v>
      </c>
      <c r="L4" s="12">
        <v>0</v>
      </c>
      <c r="M4" s="8">
        <v>2014</v>
      </c>
      <c r="N4" s="9">
        <v>0</v>
      </c>
      <c r="O4" s="9">
        <v>0</v>
      </c>
      <c r="P4" s="9">
        <v>0</v>
      </c>
      <c r="Q4" s="9">
        <v>0</v>
      </c>
      <c r="R4" s="13">
        <v>41717</v>
      </c>
      <c r="S4" s="13">
        <v>41717</v>
      </c>
    </row>
    <row r="5" spans="1:19">
      <c r="A5" s="10">
        <v>2014</v>
      </c>
      <c r="B5" s="11" t="s">
        <v>489</v>
      </c>
      <c r="C5" s="11" t="s">
        <v>490</v>
      </c>
      <c r="D5" s="12">
        <v>1002052</v>
      </c>
      <c r="E5" s="12">
        <v>2</v>
      </c>
      <c r="F5" s="12"/>
      <c r="G5" s="12">
        <v>800</v>
      </c>
      <c r="H5" s="12">
        <v>13.1</v>
      </c>
      <c r="I5" s="12"/>
      <c r="J5" s="12" t="s">
        <v>119</v>
      </c>
      <c r="K5" s="12" t="b">
        <v>1</v>
      </c>
      <c r="L5" s="12">
        <v>1</v>
      </c>
      <c r="M5" s="8">
        <v>2015</v>
      </c>
      <c r="N5" s="9">
        <v>0</v>
      </c>
      <c r="O5" s="9">
        <v>0</v>
      </c>
      <c r="P5" s="9">
        <v>0</v>
      </c>
      <c r="Q5" s="9">
        <v>0</v>
      </c>
      <c r="R5" s="13">
        <v>41717</v>
      </c>
      <c r="S5" s="13">
        <v>41717</v>
      </c>
    </row>
    <row r="6" spans="1:19">
      <c r="A6" s="10">
        <v>2014</v>
      </c>
      <c r="B6" s="11" t="s">
        <v>489</v>
      </c>
      <c r="C6" s="11" t="s">
        <v>490</v>
      </c>
      <c r="D6" s="12">
        <v>1002052</v>
      </c>
      <c r="E6" s="12">
        <v>2</v>
      </c>
      <c r="F6" s="12"/>
      <c r="G6" s="12">
        <v>890</v>
      </c>
      <c r="H6" s="12">
        <v>14.2</v>
      </c>
      <c r="I6" s="12"/>
      <c r="J6" s="12" t="s">
        <v>128</v>
      </c>
      <c r="K6" s="12" t="b">
        <v>1</v>
      </c>
      <c r="L6" s="12">
        <v>0</v>
      </c>
      <c r="M6" s="8">
        <v>2014</v>
      </c>
      <c r="N6" s="9">
        <v>0</v>
      </c>
      <c r="O6" s="9">
        <v>0</v>
      </c>
      <c r="P6" s="9">
        <v>0</v>
      </c>
      <c r="Q6" s="9">
        <v>0</v>
      </c>
      <c r="R6" s="13">
        <v>41717</v>
      </c>
      <c r="S6" s="13">
        <v>41717</v>
      </c>
    </row>
    <row r="7" spans="1:19">
      <c r="A7" s="10">
        <v>2014</v>
      </c>
      <c r="B7" s="11" t="s">
        <v>489</v>
      </c>
      <c r="C7" s="11" t="s">
        <v>490</v>
      </c>
      <c r="D7" s="12">
        <v>1002052</v>
      </c>
      <c r="E7" s="12">
        <v>2</v>
      </c>
      <c r="F7" s="12"/>
      <c r="G7" s="12">
        <v>830</v>
      </c>
      <c r="H7" s="12">
        <v>13.4</v>
      </c>
      <c r="I7" s="12"/>
      <c r="J7" s="12" t="s">
        <v>122</v>
      </c>
      <c r="K7" s="12" t="b">
        <v>1</v>
      </c>
      <c r="L7" s="12">
        <v>0</v>
      </c>
      <c r="M7" s="8">
        <v>2014</v>
      </c>
      <c r="N7" s="9">
        <v>0</v>
      </c>
      <c r="O7" s="9">
        <v>0</v>
      </c>
      <c r="P7" s="9">
        <v>0</v>
      </c>
      <c r="Q7" s="9">
        <v>0</v>
      </c>
      <c r="R7" s="13">
        <v>41717</v>
      </c>
      <c r="S7" s="13">
        <v>41717</v>
      </c>
    </row>
    <row r="8" spans="1:19">
      <c r="A8" s="10">
        <v>2014</v>
      </c>
      <c r="B8" s="11" t="s">
        <v>489</v>
      </c>
      <c r="C8" s="11" t="s">
        <v>490</v>
      </c>
      <c r="D8" s="12">
        <v>1002052</v>
      </c>
      <c r="E8" s="12">
        <v>2</v>
      </c>
      <c r="F8" s="12"/>
      <c r="G8" s="12">
        <v>764</v>
      </c>
      <c r="H8" s="12" t="s">
        <v>405</v>
      </c>
      <c r="I8" s="12"/>
      <c r="J8" s="12" t="s">
        <v>406</v>
      </c>
      <c r="K8" s="12" t="b">
        <v>1</v>
      </c>
      <c r="L8" s="12">
        <v>3</v>
      </c>
      <c r="M8" s="8">
        <v>2017</v>
      </c>
      <c r="N8" s="9">
        <v>0</v>
      </c>
      <c r="O8" s="9">
        <v>0</v>
      </c>
      <c r="P8" s="9">
        <v>0</v>
      </c>
      <c r="Q8" s="9">
        <v>0</v>
      </c>
      <c r="R8" s="13">
        <v>41717</v>
      </c>
      <c r="S8" s="13">
        <v>41717</v>
      </c>
    </row>
    <row r="9" spans="1:19">
      <c r="A9" s="10">
        <v>2014</v>
      </c>
      <c r="B9" s="11" t="s">
        <v>489</v>
      </c>
      <c r="C9" s="11" t="s">
        <v>490</v>
      </c>
      <c r="D9" s="12">
        <v>1002052</v>
      </c>
      <c r="E9" s="12">
        <v>2</v>
      </c>
      <c r="F9" s="12"/>
      <c r="G9" s="12">
        <v>550</v>
      </c>
      <c r="H9" s="12">
        <v>10</v>
      </c>
      <c r="I9" s="12"/>
      <c r="J9" s="12" t="s">
        <v>85</v>
      </c>
      <c r="K9" s="12" t="b">
        <v>0</v>
      </c>
      <c r="L9" s="12">
        <v>0</v>
      </c>
      <c r="M9" s="8">
        <v>2014</v>
      </c>
      <c r="N9" s="9">
        <v>0</v>
      </c>
      <c r="O9" s="9">
        <v>0</v>
      </c>
      <c r="P9" s="9">
        <v>0</v>
      </c>
      <c r="Q9" s="9">
        <v>0</v>
      </c>
      <c r="R9" s="13">
        <v>41717</v>
      </c>
      <c r="S9" s="13">
        <v>41717</v>
      </c>
    </row>
    <row r="10" spans="1:19">
      <c r="A10" s="10">
        <v>2014</v>
      </c>
      <c r="B10" s="11" t="s">
        <v>489</v>
      </c>
      <c r="C10" s="11" t="s">
        <v>490</v>
      </c>
      <c r="D10" s="12">
        <v>1002052</v>
      </c>
      <c r="E10" s="12">
        <v>2</v>
      </c>
      <c r="F10" s="12"/>
      <c r="G10" s="12">
        <v>860</v>
      </c>
      <c r="H10" s="12">
        <v>13.7</v>
      </c>
      <c r="I10" s="12"/>
      <c r="J10" s="12" t="s">
        <v>125</v>
      </c>
      <c r="K10" s="12" t="b">
        <v>1</v>
      </c>
      <c r="L10" s="12">
        <v>1</v>
      </c>
      <c r="M10" s="8">
        <v>2015</v>
      </c>
      <c r="N10" s="9">
        <v>0</v>
      </c>
      <c r="O10" s="9">
        <v>0</v>
      </c>
      <c r="P10" s="9">
        <v>0</v>
      </c>
      <c r="Q10" s="9">
        <v>0</v>
      </c>
      <c r="R10" s="13">
        <v>41717</v>
      </c>
      <c r="S10" s="13">
        <v>41717</v>
      </c>
    </row>
    <row r="11" spans="1:19">
      <c r="A11" s="10">
        <v>2014</v>
      </c>
      <c r="B11" s="11" t="s">
        <v>489</v>
      </c>
      <c r="C11" s="11" t="s">
        <v>490</v>
      </c>
      <c r="D11" s="12">
        <v>1002052</v>
      </c>
      <c r="E11" s="12">
        <v>2</v>
      </c>
      <c r="F11" s="12"/>
      <c r="G11" s="12">
        <v>750</v>
      </c>
      <c r="H11" s="12" t="s">
        <v>111</v>
      </c>
      <c r="I11" s="12"/>
      <c r="J11" s="12" t="s">
        <v>112</v>
      </c>
      <c r="K11" s="12" t="b">
        <v>0</v>
      </c>
      <c r="L11" s="12">
        <v>1</v>
      </c>
      <c r="M11" s="8">
        <v>2015</v>
      </c>
      <c r="N11" s="9">
        <v>0</v>
      </c>
      <c r="O11" s="9">
        <v>0</v>
      </c>
      <c r="P11" s="9">
        <v>145119.65</v>
      </c>
      <c r="Q11" s="9">
        <v>138833.24</v>
      </c>
      <c r="R11" s="13">
        <v>41717</v>
      </c>
      <c r="S11" s="13">
        <v>41717</v>
      </c>
    </row>
    <row r="12" spans="1:19">
      <c r="A12" s="10">
        <v>2014</v>
      </c>
      <c r="B12" s="11" t="s">
        <v>489</v>
      </c>
      <c r="C12" s="11" t="s">
        <v>490</v>
      </c>
      <c r="D12" s="12">
        <v>1002052</v>
      </c>
      <c r="E12" s="12">
        <v>2</v>
      </c>
      <c r="F12" s="12"/>
      <c r="G12" s="12">
        <v>610</v>
      </c>
      <c r="H12" s="12" t="s">
        <v>90</v>
      </c>
      <c r="I12" s="12"/>
      <c r="J12" s="12" t="s">
        <v>91</v>
      </c>
      <c r="K12" s="12" t="b">
        <v>1</v>
      </c>
      <c r="L12" s="12">
        <v>1</v>
      </c>
      <c r="M12" s="8">
        <v>2015</v>
      </c>
      <c r="N12" s="9">
        <v>123162.52</v>
      </c>
      <c r="O12" s="9">
        <v>156869.10999999999</v>
      </c>
      <c r="P12" s="9">
        <v>145119.65</v>
      </c>
      <c r="Q12" s="9">
        <v>138833.24</v>
      </c>
      <c r="R12" s="13">
        <v>41717</v>
      </c>
      <c r="S12" s="13">
        <v>41717</v>
      </c>
    </row>
    <row r="13" spans="1:19">
      <c r="A13" s="10">
        <v>2014</v>
      </c>
      <c r="B13" s="11" t="s">
        <v>489</v>
      </c>
      <c r="C13" s="11" t="s">
        <v>490</v>
      </c>
      <c r="D13" s="12">
        <v>1002052</v>
      </c>
      <c r="E13" s="12">
        <v>2</v>
      </c>
      <c r="F13" s="12"/>
      <c r="G13" s="12">
        <v>280</v>
      </c>
      <c r="H13" s="12">
        <v>4.4000000000000004</v>
      </c>
      <c r="I13" s="12"/>
      <c r="J13" s="12" t="s">
        <v>74</v>
      </c>
      <c r="K13" s="12" t="b">
        <v>0</v>
      </c>
      <c r="L13" s="12">
        <v>0</v>
      </c>
      <c r="M13" s="8">
        <v>2014</v>
      </c>
      <c r="N13" s="9">
        <v>21393.72</v>
      </c>
      <c r="O13" s="9">
        <v>0</v>
      </c>
      <c r="P13" s="9">
        <v>24682</v>
      </c>
      <c r="Q13" s="9">
        <v>24682</v>
      </c>
      <c r="R13" s="13">
        <v>41717</v>
      </c>
      <c r="S13" s="13">
        <v>41717</v>
      </c>
    </row>
    <row r="14" spans="1:19">
      <c r="A14" s="10">
        <v>2014</v>
      </c>
      <c r="B14" s="11" t="s">
        <v>489</v>
      </c>
      <c r="C14" s="11" t="s">
        <v>490</v>
      </c>
      <c r="D14" s="12">
        <v>1002052</v>
      </c>
      <c r="E14" s="12">
        <v>2</v>
      </c>
      <c r="F14" s="12"/>
      <c r="G14" s="12">
        <v>730</v>
      </c>
      <c r="H14" s="12">
        <v>12.3</v>
      </c>
      <c r="I14" s="12"/>
      <c r="J14" s="12" t="s">
        <v>108</v>
      </c>
      <c r="K14" s="12" t="b">
        <v>0</v>
      </c>
      <c r="L14" s="12">
        <v>1</v>
      </c>
      <c r="M14" s="8">
        <v>2015</v>
      </c>
      <c r="N14" s="9">
        <v>123162.52</v>
      </c>
      <c r="O14" s="9">
        <v>156869.10999999999</v>
      </c>
      <c r="P14" s="9">
        <v>145119.65</v>
      </c>
      <c r="Q14" s="9">
        <v>138833.24</v>
      </c>
      <c r="R14" s="13">
        <v>41717</v>
      </c>
      <c r="S14" s="13">
        <v>41717</v>
      </c>
    </row>
    <row r="15" spans="1:19">
      <c r="A15" s="10">
        <v>2014</v>
      </c>
      <c r="B15" s="11" t="s">
        <v>489</v>
      </c>
      <c r="C15" s="11" t="s">
        <v>490</v>
      </c>
      <c r="D15" s="12">
        <v>1002052</v>
      </c>
      <c r="E15" s="12">
        <v>2</v>
      </c>
      <c r="F15" s="12"/>
      <c r="G15" s="12">
        <v>660</v>
      </c>
      <c r="H15" s="12">
        <v>12</v>
      </c>
      <c r="I15" s="12"/>
      <c r="J15" s="12" t="s">
        <v>97</v>
      </c>
      <c r="K15" s="12" t="b">
        <v>1</v>
      </c>
      <c r="L15" s="12">
        <v>0</v>
      </c>
      <c r="M15" s="8">
        <v>2014</v>
      </c>
      <c r="N15" s="9">
        <v>0</v>
      </c>
      <c r="O15" s="9">
        <v>0</v>
      </c>
      <c r="P15" s="9">
        <v>0</v>
      </c>
      <c r="Q15" s="9">
        <v>0</v>
      </c>
      <c r="R15" s="13">
        <v>41717</v>
      </c>
      <c r="S15" s="13">
        <v>41717</v>
      </c>
    </row>
    <row r="16" spans="1:19">
      <c r="A16" s="10">
        <v>2014</v>
      </c>
      <c r="B16" s="11" t="s">
        <v>489</v>
      </c>
      <c r="C16" s="11" t="s">
        <v>490</v>
      </c>
      <c r="D16" s="12">
        <v>1002052</v>
      </c>
      <c r="E16" s="12">
        <v>2</v>
      </c>
      <c r="F16" s="12"/>
      <c r="G16" s="12">
        <v>766</v>
      </c>
      <c r="H16" s="12" t="s">
        <v>409</v>
      </c>
      <c r="I16" s="12"/>
      <c r="J16" s="12" t="s">
        <v>406</v>
      </c>
      <c r="K16" s="12" t="b">
        <v>1</v>
      </c>
      <c r="L16" s="12">
        <v>3</v>
      </c>
      <c r="M16" s="8">
        <v>2017</v>
      </c>
      <c r="N16" s="9">
        <v>0</v>
      </c>
      <c r="O16" s="9">
        <v>0</v>
      </c>
      <c r="P16" s="9">
        <v>0</v>
      </c>
      <c r="Q16" s="9">
        <v>0</v>
      </c>
      <c r="R16" s="13">
        <v>41717</v>
      </c>
      <c r="S16" s="13">
        <v>41717</v>
      </c>
    </row>
    <row r="17" spans="1:19">
      <c r="A17" s="10">
        <v>2014</v>
      </c>
      <c r="B17" s="11" t="s">
        <v>489</v>
      </c>
      <c r="C17" s="11" t="s">
        <v>490</v>
      </c>
      <c r="D17" s="12">
        <v>1002052</v>
      </c>
      <c r="E17" s="12">
        <v>2</v>
      </c>
      <c r="F17" s="12"/>
      <c r="G17" s="12">
        <v>50</v>
      </c>
      <c r="H17" s="12" t="s">
        <v>45</v>
      </c>
      <c r="I17" s="12"/>
      <c r="J17" s="12" t="s">
        <v>46</v>
      </c>
      <c r="K17" s="12" t="b">
        <v>1</v>
      </c>
      <c r="L17" s="12">
        <v>1</v>
      </c>
      <c r="M17" s="8">
        <v>2015</v>
      </c>
      <c r="N17" s="9">
        <v>3093016.26</v>
      </c>
      <c r="O17" s="9">
        <v>4719070.97</v>
      </c>
      <c r="P17" s="9">
        <v>3848642.4</v>
      </c>
      <c r="Q17" s="9">
        <v>3241540.05</v>
      </c>
      <c r="R17" s="13">
        <v>41717</v>
      </c>
      <c r="S17" s="13">
        <v>41717</v>
      </c>
    </row>
    <row r="18" spans="1:19">
      <c r="A18" s="10">
        <v>2014</v>
      </c>
      <c r="B18" s="11" t="s">
        <v>489</v>
      </c>
      <c r="C18" s="11" t="s">
        <v>490</v>
      </c>
      <c r="D18" s="12">
        <v>1002052</v>
      </c>
      <c r="E18" s="12">
        <v>2</v>
      </c>
      <c r="F18" s="12"/>
      <c r="G18" s="12">
        <v>900</v>
      </c>
      <c r="H18" s="12">
        <v>14.3</v>
      </c>
      <c r="I18" s="12"/>
      <c r="J18" s="12" t="s">
        <v>129</v>
      </c>
      <c r="K18" s="12" t="b">
        <v>1</v>
      </c>
      <c r="L18" s="12">
        <v>1</v>
      </c>
      <c r="M18" s="8">
        <v>2015</v>
      </c>
      <c r="N18" s="9">
        <v>0</v>
      </c>
      <c r="O18" s="9">
        <v>0</v>
      </c>
      <c r="P18" s="9">
        <v>0</v>
      </c>
      <c r="Q18" s="9">
        <v>0</v>
      </c>
      <c r="R18" s="13">
        <v>41717</v>
      </c>
      <c r="S18" s="13">
        <v>41717</v>
      </c>
    </row>
    <row r="19" spans="1:19">
      <c r="A19" s="10">
        <v>2014</v>
      </c>
      <c r="B19" s="11" t="s">
        <v>489</v>
      </c>
      <c r="C19" s="11" t="s">
        <v>490</v>
      </c>
      <c r="D19" s="12">
        <v>1002052</v>
      </c>
      <c r="E19" s="12">
        <v>2</v>
      </c>
      <c r="F19" s="12"/>
      <c r="G19" s="12">
        <v>240</v>
      </c>
      <c r="H19" s="12">
        <v>4.2</v>
      </c>
      <c r="I19" s="12"/>
      <c r="J19" s="12" t="s">
        <v>69</v>
      </c>
      <c r="K19" s="12" t="b">
        <v>0</v>
      </c>
      <c r="L19" s="12">
        <v>0</v>
      </c>
      <c r="M19" s="8">
        <v>2014</v>
      </c>
      <c r="N19" s="9">
        <v>186016.39</v>
      </c>
      <c r="O19" s="9">
        <v>902519.37</v>
      </c>
      <c r="P19" s="9">
        <v>1422477.65</v>
      </c>
      <c r="Q19" s="9">
        <v>1422477.65</v>
      </c>
      <c r="R19" s="13">
        <v>41717</v>
      </c>
      <c r="S19" s="13">
        <v>41717</v>
      </c>
    </row>
    <row r="20" spans="1:19">
      <c r="A20" s="10">
        <v>2014</v>
      </c>
      <c r="B20" s="11" t="s">
        <v>489</v>
      </c>
      <c r="C20" s="11" t="s">
        <v>490</v>
      </c>
      <c r="D20" s="12">
        <v>1002052</v>
      </c>
      <c r="E20" s="12">
        <v>2</v>
      </c>
      <c r="F20" s="12"/>
      <c r="G20" s="12">
        <v>340</v>
      </c>
      <c r="H20" s="12">
        <v>5.2</v>
      </c>
      <c r="I20" s="12"/>
      <c r="J20" s="12" t="s">
        <v>80</v>
      </c>
      <c r="K20" s="12" t="b">
        <v>0</v>
      </c>
      <c r="L20" s="12">
        <v>1</v>
      </c>
      <c r="M20" s="8">
        <v>2015</v>
      </c>
      <c r="N20" s="9">
        <v>0</v>
      </c>
      <c r="O20" s="9">
        <v>24682</v>
      </c>
      <c r="P20" s="9">
        <v>0</v>
      </c>
      <c r="Q20" s="9">
        <v>0</v>
      </c>
      <c r="R20" s="13">
        <v>41717</v>
      </c>
      <c r="S20" s="13">
        <v>41717</v>
      </c>
    </row>
    <row r="21" spans="1:19">
      <c r="A21" s="10">
        <v>2014</v>
      </c>
      <c r="B21" s="11" t="s">
        <v>489</v>
      </c>
      <c r="C21" s="11" t="s">
        <v>490</v>
      </c>
      <c r="D21" s="12">
        <v>1002052</v>
      </c>
      <c r="E21" s="12">
        <v>2</v>
      </c>
      <c r="F21" s="12"/>
      <c r="G21" s="12">
        <v>40</v>
      </c>
      <c r="H21" s="12" t="s">
        <v>43</v>
      </c>
      <c r="I21" s="12"/>
      <c r="J21" s="12" t="s">
        <v>44</v>
      </c>
      <c r="K21" s="12" t="b">
        <v>1</v>
      </c>
      <c r="L21" s="12">
        <v>2</v>
      </c>
      <c r="M21" s="8">
        <v>2016</v>
      </c>
      <c r="N21" s="9">
        <v>7359.96</v>
      </c>
      <c r="O21" s="9">
        <v>873.76</v>
      </c>
      <c r="P21" s="9">
        <v>1000</v>
      </c>
      <c r="Q21" s="9">
        <v>654.23</v>
      </c>
      <c r="R21" s="13">
        <v>41717</v>
      </c>
      <c r="S21" s="13">
        <v>41717</v>
      </c>
    </row>
    <row r="22" spans="1:19">
      <c r="A22" s="10">
        <v>2014</v>
      </c>
      <c r="B22" s="11" t="s">
        <v>489</v>
      </c>
      <c r="C22" s="11" t="s">
        <v>490</v>
      </c>
      <c r="D22" s="12">
        <v>1002052</v>
      </c>
      <c r="E22" s="12">
        <v>2</v>
      </c>
      <c r="F22" s="12"/>
      <c r="G22" s="12">
        <v>560</v>
      </c>
      <c r="H22" s="12">
        <v>10.1</v>
      </c>
      <c r="I22" s="12"/>
      <c r="J22" s="12" t="s">
        <v>86</v>
      </c>
      <c r="K22" s="12" t="b">
        <v>0</v>
      </c>
      <c r="L22" s="12">
        <v>0</v>
      </c>
      <c r="M22" s="8">
        <v>2014</v>
      </c>
      <c r="N22" s="9">
        <v>0</v>
      </c>
      <c r="O22" s="9">
        <v>0</v>
      </c>
      <c r="P22" s="9">
        <v>0</v>
      </c>
      <c r="Q22" s="9">
        <v>0</v>
      </c>
      <c r="R22" s="13">
        <v>41717</v>
      </c>
      <c r="S22" s="13">
        <v>41717</v>
      </c>
    </row>
    <row r="23" spans="1:19">
      <c r="A23" s="10">
        <v>2014</v>
      </c>
      <c r="B23" s="11" t="s">
        <v>489</v>
      </c>
      <c r="C23" s="11" t="s">
        <v>490</v>
      </c>
      <c r="D23" s="12">
        <v>1002052</v>
      </c>
      <c r="E23" s="12">
        <v>2</v>
      </c>
      <c r="F23" s="12"/>
      <c r="G23" s="12">
        <v>300</v>
      </c>
      <c r="H23" s="12">
        <v>5</v>
      </c>
      <c r="I23" s="12" t="s">
        <v>374</v>
      </c>
      <c r="J23" s="12" t="s">
        <v>76</v>
      </c>
      <c r="K23" s="12" t="b">
        <v>0</v>
      </c>
      <c r="L23" s="12">
        <v>0</v>
      </c>
      <c r="M23" s="8">
        <v>2014</v>
      </c>
      <c r="N23" s="9">
        <v>601088.34</v>
      </c>
      <c r="O23" s="9">
        <v>1303202.75</v>
      </c>
      <c r="P23" s="9">
        <v>737521.46</v>
      </c>
      <c r="Q23" s="9">
        <v>737521.46</v>
      </c>
      <c r="R23" s="13">
        <v>41717</v>
      </c>
      <c r="S23" s="13">
        <v>41717</v>
      </c>
    </row>
    <row r="24" spans="1:19">
      <c r="A24" s="10">
        <v>2014</v>
      </c>
      <c r="B24" s="11" t="s">
        <v>489</v>
      </c>
      <c r="C24" s="11" t="s">
        <v>490</v>
      </c>
      <c r="D24" s="12">
        <v>1002052</v>
      </c>
      <c r="E24" s="12">
        <v>2</v>
      </c>
      <c r="F24" s="12"/>
      <c r="G24" s="12">
        <v>100</v>
      </c>
      <c r="H24" s="12" t="s">
        <v>54</v>
      </c>
      <c r="I24" s="12"/>
      <c r="J24" s="12" t="s">
        <v>55</v>
      </c>
      <c r="K24" s="12" t="b">
        <v>1</v>
      </c>
      <c r="L24" s="12">
        <v>3</v>
      </c>
      <c r="M24" s="8">
        <v>2017</v>
      </c>
      <c r="N24" s="9">
        <v>140492.99</v>
      </c>
      <c r="O24" s="9">
        <v>69038.91</v>
      </c>
      <c r="P24" s="9">
        <v>330000</v>
      </c>
      <c r="Q24" s="9">
        <v>6200</v>
      </c>
      <c r="R24" s="13">
        <v>41717</v>
      </c>
      <c r="S24" s="13">
        <v>41717</v>
      </c>
    </row>
    <row r="25" spans="1:19">
      <c r="A25" s="10">
        <v>2014</v>
      </c>
      <c r="B25" s="11" t="s">
        <v>489</v>
      </c>
      <c r="C25" s="11" t="s">
        <v>490</v>
      </c>
      <c r="D25" s="12">
        <v>1002052</v>
      </c>
      <c r="E25" s="12">
        <v>2</v>
      </c>
      <c r="F25" s="12"/>
      <c r="G25" s="12">
        <v>590</v>
      </c>
      <c r="H25" s="12">
        <v>11.2</v>
      </c>
      <c r="I25" s="12"/>
      <c r="J25" s="12" t="s">
        <v>89</v>
      </c>
      <c r="K25" s="12" t="b">
        <v>1</v>
      </c>
      <c r="L25" s="12">
        <v>2</v>
      </c>
      <c r="M25" s="8">
        <v>2016</v>
      </c>
      <c r="N25" s="9">
        <v>1397090.95</v>
      </c>
      <c r="O25" s="9">
        <v>1438877.18</v>
      </c>
      <c r="P25" s="9">
        <v>1491519</v>
      </c>
      <c r="Q25" s="9">
        <v>1343112.1</v>
      </c>
      <c r="R25" s="13">
        <v>41717</v>
      </c>
      <c r="S25" s="13">
        <v>41717</v>
      </c>
    </row>
    <row r="26" spans="1:19">
      <c r="A26" s="10">
        <v>2014</v>
      </c>
      <c r="B26" s="11" t="s">
        <v>489</v>
      </c>
      <c r="C26" s="11" t="s">
        <v>490</v>
      </c>
      <c r="D26" s="12">
        <v>1002052</v>
      </c>
      <c r="E26" s="12">
        <v>2</v>
      </c>
      <c r="F26" s="12"/>
      <c r="G26" s="12">
        <v>870</v>
      </c>
      <c r="H26" s="12">
        <v>14</v>
      </c>
      <c r="I26" s="12"/>
      <c r="J26" s="12" t="s">
        <v>126</v>
      </c>
      <c r="K26" s="12" t="b">
        <v>1</v>
      </c>
      <c r="L26" s="12">
        <v>3</v>
      </c>
      <c r="M26" s="8">
        <v>2017</v>
      </c>
      <c r="N26" s="9">
        <v>0</v>
      </c>
      <c r="O26" s="9">
        <v>0</v>
      </c>
      <c r="P26" s="9">
        <v>0</v>
      </c>
      <c r="Q26" s="9">
        <v>0</v>
      </c>
      <c r="R26" s="13">
        <v>41717</v>
      </c>
      <c r="S26" s="13">
        <v>41717</v>
      </c>
    </row>
    <row r="27" spans="1:19">
      <c r="A27" s="10">
        <v>2014</v>
      </c>
      <c r="B27" s="11" t="s">
        <v>489</v>
      </c>
      <c r="C27" s="11" t="s">
        <v>490</v>
      </c>
      <c r="D27" s="12">
        <v>1002052</v>
      </c>
      <c r="E27" s="12">
        <v>2</v>
      </c>
      <c r="F27" s="12"/>
      <c r="G27" s="12">
        <v>70</v>
      </c>
      <c r="H27" s="12" t="s">
        <v>49</v>
      </c>
      <c r="I27" s="12"/>
      <c r="J27" s="12" t="s">
        <v>50</v>
      </c>
      <c r="K27" s="12" t="b">
        <v>1</v>
      </c>
      <c r="L27" s="12">
        <v>1</v>
      </c>
      <c r="M27" s="8">
        <v>2015</v>
      </c>
      <c r="N27" s="9">
        <v>4037554</v>
      </c>
      <c r="O27" s="9">
        <v>4481337</v>
      </c>
      <c r="P27" s="9">
        <v>4504728</v>
      </c>
      <c r="Q27" s="9">
        <v>4504728</v>
      </c>
      <c r="R27" s="13">
        <v>41717</v>
      </c>
      <c r="S27" s="13">
        <v>41717</v>
      </c>
    </row>
    <row r="28" spans="1:19">
      <c r="A28" s="10">
        <v>2014</v>
      </c>
      <c r="B28" s="11" t="s">
        <v>489</v>
      </c>
      <c r="C28" s="11" t="s">
        <v>490</v>
      </c>
      <c r="D28" s="12">
        <v>1002052</v>
      </c>
      <c r="E28" s="12">
        <v>2</v>
      </c>
      <c r="F28" s="12"/>
      <c r="G28" s="12">
        <v>470</v>
      </c>
      <c r="H28" s="12">
        <v>9.1</v>
      </c>
      <c r="I28" s="12" t="s">
        <v>385</v>
      </c>
      <c r="J28" s="12" t="s">
        <v>386</v>
      </c>
      <c r="K28" s="12" t="b">
        <v>1</v>
      </c>
      <c r="L28" s="12">
        <v>0</v>
      </c>
      <c r="M28" s="8">
        <v>2014</v>
      </c>
      <c r="N28" s="9">
        <v>5.45E-2</v>
      </c>
      <c r="O28" s="9">
        <v>9.6799999999999997E-2</v>
      </c>
      <c r="P28" s="9">
        <v>6.1800000000000001E-2</v>
      </c>
      <c r="Q28" s="9">
        <v>6.0900000000000003E-2</v>
      </c>
      <c r="R28" s="13">
        <v>41717</v>
      </c>
      <c r="S28" s="13">
        <v>41717</v>
      </c>
    </row>
    <row r="29" spans="1:19">
      <c r="A29" s="10">
        <v>2014</v>
      </c>
      <c r="B29" s="11" t="s">
        <v>489</v>
      </c>
      <c r="C29" s="11" t="s">
        <v>490</v>
      </c>
      <c r="D29" s="12">
        <v>1002052</v>
      </c>
      <c r="E29" s="12">
        <v>2</v>
      </c>
      <c r="F29" s="12"/>
      <c r="G29" s="12">
        <v>760</v>
      </c>
      <c r="H29" s="12">
        <v>12.4</v>
      </c>
      <c r="I29" s="12"/>
      <c r="J29" s="12" t="s">
        <v>113</v>
      </c>
      <c r="K29" s="12" t="b">
        <v>1</v>
      </c>
      <c r="L29" s="12">
        <v>3</v>
      </c>
      <c r="M29" s="8">
        <v>2017</v>
      </c>
      <c r="N29" s="9">
        <v>650923.96</v>
      </c>
      <c r="O29" s="9">
        <v>562105.4</v>
      </c>
      <c r="P29" s="9">
        <v>3401517</v>
      </c>
      <c r="Q29" s="9">
        <v>3180695.36</v>
      </c>
      <c r="R29" s="13">
        <v>41717</v>
      </c>
      <c r="S29" s="13">
        <v>41717</v>
      </c>
    </row>
    <row r="30" spans="1:19">
      <c r="A30" s="10">
        <v>2014</v>
      </c>
      <c r="B30" s="11" t="s">
        <v>489</v>
      </c>
      <c r="C30" s="11" t="s">
        <v>490</v>
      </c>
      <c r="D30" s="12">
        <v>1002052</v>
      </c>
      <c r="E30" s="12">
        <v>2</v>
      </c>
      <c r="F30" s="12"/>
      <c r="G30" s="12">
        <v>30</v>
      </c>
      <c r="H30" s="12" t="s">
        <v>41</v>
      </c>
      <c r="I30" s="12"/>
      <c r="J30" s="12" t="s">
        <v>42</v>
      </c>
      <c r="K30" s="12" t="b">
        <v>1</v>
      </c>
      <c r="L30" s="12">
        <v>2</v>
      </c>
      <c r="M30" s="8">
        <v>2016</v>
      </c>
      <c r="N30" s="9">
        <v>976091</v>
      </c>
      <c r="O30" s="9">
        <v>1398132</v>
      </c>
      <c r="P30" s="9">
        <v>1443005</v>
      </c>
      <c r="Q30" s="9">
        <v>1390365</v>
      </c>
      <c r="R30" s="13">
        <v>41717</v>
      </c>
      <c r="S30" s="13">
        <v>41717</v>
      </c>
    </row>
    <row r="31" spans="1:19">
      <c r="A31" s="10">
        <v>2014</v>
      </c>
      <c r="B31" s="11" t="s">
        <v>489</v>
      </c>
      <c r="C31" s="11" t="s">
        <v>490</v>
      </c>
      <c r="D31" s="12">
        <v>1002052</v>
      </c>
      <c r="E31" s="12">
        <v>2</v>
      </c>
      <c r="F31" s="12"/>
      <c r="G31" s="12">
        <v>80</v>
      </c>
      <c r="H31" s="12" t="s">
        <v>51</v>
      </c>
      <c r="I31" s="12"/>
      <c r="J31" s="12" t="s">
        <v>52</v>
      </c>
      <c r="K31" s="12" t="b">
        <v>1</v>
      </c>
      <c r="L31" s="12">
        <v>0</v>
      </c>
      <c r="M31" s="8">
        <v>2014</v>
      </c>
      <c r="N31" s="9">
        <v>2073142.05</v>
      </c>
      <c r="O31" s="9">
        <v>2060950.81</v>
      </c>
      <c r="P31" s="9">
        <v>1980030.02</v>
      </c>
      <c r="Q31" s="9">
        <v>2099883.4300000002</v>
      </c>
      <c r="R31" s="13">
        <v>41717</v>
      </c>
      <c r="S31" s="13">
        <v>41717</v>
      </c>
    </row>
    <row r="32" spans="1:19">
      <c r="A32" s="10">
        <v>2014</v>
      </c>
      <c r="B32" s="11" t="s">
        <v>489</v>
      </c>
      <c r="C32" s="11" t="s">
        <v>490</v>
      </c>
      <c r="D32" s="12">
        <v>1002052</v>
      </c>
      <c r="E32" s="12">
        <v>2</v>
      </c>
      <c r="F32" s="12"/>
      <c r="G32" s="12">
        <v>270</v>
      </c>
      <c r="H32" s="12" t="s">
        <v>73</v>
      </c>
      <c r="I32" s="12"/>
      <c r="J32" s="12" t="s">
        <v>71</v>
      </c>
      <c r="K32" s="12" t="b">
        <v>1</v>
      </c>
      <c r="L32" s="12">
        <v>1</v>
      </c>
      <c r="M32" s="8">
        <v>2015</v>
      </c>
      <c r="N32" s="9">
        <v>1100222.42</v>
      </c>
      <c r="O32" s="9">
        <v>0</v>
      </c>
      <c r="P32" s="9">
        <v>89000</v>
      </c>
      <c r="Q32" s="9">
        <v>89000</v>
      </c>
      <c r="R32" s="13">
        <v>41717</v>
      </c>
      <c r="S32" s="13">
        <v>41717</v>
      </c>
    </row>
    <row r="33" spans="1:19">
      <c r="A33" s="10">
        <v>2014</v>
      </c>
      <c r="B33" s="11" t="s">
        <v>489</v>
      </c>
      <c r="C33" s="11" t="s">
        <v>490</v>
      </c>
      <c r="D33" s="12">
        <v>1002052</v>
      </c>
      <c r="E33" s="12">
        <v>2</v>
      </c>
      <c r="F33" s="12"/>
      <c r="G33" s="12">
        <v>720</v>
      </c>
      <c r="H33" s="12" t="s">
        <v>106</v>
      </c>
      <c r="I33" s="12"/>
      <c r="J33" s="12" t="s">
        <v>107</v>
      </c>
      <c r="K33" s="12" t="b">
        <v>0</v>
      </c>
      <c r="L33" s="12">
        <v>1</v>
      </c>
      <c r="M33" s="8">
        <v>2015</v>
      </c>
      <c r="N33" s="9">
        <v>0</v>
      </c>
      <c r="O33" s="9">
        <v>0</v>
      </c>
      <c r="P33" s="9">
        <v>232602</v>
      </c>
      <c r="Q33" s="9">
        <v>232601.81</v>
      </c>
      <c r="R33" s="13">
        <v>41717</v>
      </c>
      <c r="S33" s="13">
        <v>41717</v>
      </c>
    </row>
    <row r="34" spans="1:19">
      <c r="A34" s="10">
        <v>2014</v>
      </c>
      <c r="B34" s="11" t="s">
        <v>489</v>
      </c>
      <c r="C34" s="11" t="s">
        <v>490</v>
      </c>
      <c r="D34" s="12">
        <v>1002052</v>
      </c>
      <c r="E34" s="12">
        <v>2</v>
      </c>
      <c r="F34" s="12"/>
      <c r="G34" s="12">
        <v>130</v>
      </c>
      <c r="H34" s="12">
        <v>2.1</v>
      </c>
      <c r="I34" s="12"/>
      <c r="J34" s="12" t="s">
        <v>58</v>
      </c>
      <c r="K34" s="12" t="b">
        <v>1</v>
      </c>
      <c r="L34" s="12">
        <v>1</v>
      </c>
      <c r="M34" s="8">
        <v>2015</v>
      </c>
      <c r="N34" s="9">
        <v>9211865.6600000001</v>
      </c>
      <c r="O34" s="9">
        <v>9055670.4299999997</v>
      </c>
      <c r="P34" s="9">
        <v>9959324.6999999993</v>
      </c>
      <c r="Q34" s="9">
        <v>9384342.0399999991</v>
      </c>
      <c r="R34" s="13">
        <v>41717</v>
      </c>
      <c r="S34" s="13">
        <v>41717</v>
      </c>
    </row>
    <row r="35" spans="1:19">
      <c r="A35" s="10">
        <v>2014</v>
      </c>
      <c r="B35" s="11" t="s">
        <v>489</v>
      </c>
      <c r="C35" s="11" t="s">
        <v>490</v>
      </c>
      <c r="D35" s="12">
        <v>1002052</v>
      </c>
      <c r="E35" s="12">
        <v>2</v>
      </c>
      <c r="F35" s="12"/>
      <c r="G35" s="12">
        <v>120</v>
      </c>
      <c r="H35" s="12">
        <v>2</v>
      </c>
      <c r="I35" s="12" t="s">
        <v>491</v>
      </c>
      <c r="J35" s="12" t="s">
        <v>19</v>
      </c>
      <c r="K35" s="12" t="b">
        <v>0</v>
      </c>
      <c r="L35" s="12">
        <v>0</v>
      </c>
      <c r="M35" s="8">
        <v>2014</v>
      </c>
      <c r="N35" s="9">
        <v>12835915.98</v>
      </c>
      <c r="O35" s="9">
        <v>11481546.43</v>
      </c>
      <c r="P35" s="9">
        <v>14584700.699999999</v>
      </c>
      <c r="Q35" s="9">
        <v>13777530.74</v>
      </c>
      <c r="R35" s="13">
        <v>41717</v>
      </c>
      <c r="S35" s="13">
        <v>41717</v>
      </c>
    </row>
    <row r="36" spans="1:19">
      <c r="A36" s="10">
        <v>2014</v>
      </c>
      <c r="B36" s="11" t="s">
        <v>489</v>
      </c>
      <c r="C36" s="11" t="s">
        <v>490</v>
      </c>
      <c r="D36" s="12">
        <v>1002052</v>
      </c>
      <c r="E36" s="12">
        <v>2</v>
      </c>
      <c r="F36" s="12"/>
      <c r="G36" s="12">
        <v>764</v>
      </c>
      <c r="H36" s="12" t="s">
        <v>405</v>
      </c>
      <c r="I36" s="12"/>
      <c r="J36" s="12" t="s">
        <v>406</v>
      </c>
      <c r="K36" s="12" t="b">
        <v>1</v>
      </c>
      <c r="L36" s="12">
        <v>1</v>
      </c>
      <c r="M36" s="8">
        <v>2015</v>
      </c>
      <c r="N36" s="9">
        <v>0</v>
      </c>
      <c r="O36" s="9">
        <v>0</v>
      </c>
      <c r="P36" s="9">
        <v>0</v>
      </c>
      <c r="Q36" s="9">
        <v>0</v>
      </c>
      <c r="R36" s="13">
        <v>41717</v>
      </c>
      <c r="S36" s="13">
        <v>41717</v>
      </c>
    </row>
    <row r="37" spans="1:19">
      <c r="A37" s="10">
        <v>2014</v>
      </c>
      <c r="B37" s="11" t="s">
        <v>489</v>
      </c>
      <c r="C37" s="11" t="s">
        <v>490</v>
      </c>
      <c r="D37" s="12">
        <v>1002052</v>
      </c>
      <c r="E37" s="12">
        <v>2</v>
      </c>
      <c r="F37" s="12"/>
      <c r="G37" s="12">
        <v>890</v>
      </c>
      <c r="H37" s="12">
        <v>14.2</v>
      </c>
      <c r="I37" s="12"/>
      <c r="J37" s="12" t="s">
        <v>128</v>
      </c>
      <c r="K37" s="12" t="b">
        <v>1</v>
      </c>
      <c r="L37" s="12">
        <v>2</v>
      </c>
      <c r="M37" s="8">
        <v>2016</v>
      </c>
      <c r="N37" s="9">
        <v>0</v>
      </c>
      <c r="O37" s="9">
        <v>0</v>
      </c>
      <c r="P37" s="9">
        <v>0</v>
      </c>
      <c r="Q37" s="9">
        <v>0</v>
      </c>
      <c r="R37" s="13">
        <v>41717</v>
      </c>
      <c r="S37" s="13">
        <v>41717</v>
      </c>
    </row>
    <row r="38" spans="1:19">
      <c r="A38" s="10">
        <v>2014</v>
      </c>
      <c r="B38" s="11" t="s">
        <v>489</v>
      </c>
      <c r="C38" s="11" t="s">
        <v>490</v>
      </c>
      <c r="D38" s="12">
        <v>1002052</v>
      </c>
      <c r="E38" s="12">
        <v>2</v>
      </c>
      <c r="F38" s="12"/>
      <c r="G38" s="12">
        <v>10</v>
      </c>
      <c r="H38" s="12">
        <v>1</v>
      </c>
      <c r="I38" s="12" t="s">
        <v>492</v>
      </c>
      <c r="J38" s="12" t="s">
        <v>24</v>
      </c>
      <c r="K38" s="12" t="b">
        <v>1</v>
      </c>
      <c r="L38" s="12">
        <v>3</v>
      </c>
      <c r="M38" s="8">
        <v>2017</v>
      </c>
      <c r="N38" s="9">
        <v>11735693.560000001</v>
      </c>
      <c r="O38" s="9">
        <v>14062028.15</v>
      </c>
      <c r="P38" s="9">
        <v>13471394.42</v>
      </c>
      <c r="Q38" s="9">
        <v>12708280.6</v>
      </c>
      <c r="R38" s="13">
        <v>41717</v>
      </c>
      <c r="S38" s="13">
        <v>41717</v>
      </c>
    </row>
    <row r="39" spans="1:19">
      <c r="A39" s="10">
        <v>2014</v>
      </c>
      <c r="B39" s="11" t="s">
        <v>489</v>
      </c>
      <c r="C39" s="11" t="s">
        <v>490</v>
      </c>
      <c r="D39" s="12">
        <v>1002052</v>
      </c>
      <c r="E39" s="12">
        <v>2</v>
      </c>
      <c r="F39" s="12"/>
      <c r="G39" s="12">
        <v>480</v>
      </c>
      <c r="H39" s="12">
        <v>9.1999999999999993</v>
      </c>
      <c r="I39" s="12" t="s">
        <v>387</v>
      </c>
      <c r="J39" s="12" t="s">
        <v>388</v>
      </c>
      <c r="K39" s="12" t="b">
        <v>0</v>
      </c>
      <c r="L39" s="12">
        <v>1</v>
      </c>
      <c r="M39" s="8">
        <v>2015</v>
      </c>
      <c r="N39" s="9">
        <v>7.4000000000000003E-3</v>
      </c>
      <c r="O39" s="9">
        <v>5.45E-2</v>
      </c>
      <c r="P39" s="9">
        <v>6.1800000000000001E-2</v>
      </c>
      <c r="Q39" s="9">
        <v>6.0900000000000003E-2</v>
      </c>
      <c r="R39" s="13">
        <v>41717</v>
      </c>
      <c r="S39" s="13">
        <v>41717</v>
      </c>
    </row>
    <row r="40" spans="1:19">
      <c r="A40" s="10">
        <v>2014</v>
      </c>
      <c r="B40" s="11" t="s">
        <v>489</v>
      </c>
      <c r="C40" s="11" t="s">
        <v>490</v>
      </c>
      <c r="D40" s="12">
        <v>1002052</v>
      </c>
      <c r="E40" s="12">
        <v>2</v>
      </c>
      <c r="F40" s="12"/>
      <c r="G40" s="12">
        <v>230</v>
      </c>
      <c r="H40" s="12" t="s">
        <v>67</v>
      </c>
      <c r="I40" s="12"/>
      <c r="J40" s="12" t="s">
        <v>68</v>
      </c>
      <c r="K40" s="12" t="b">
        <v>0</v>
      </c>
      <c r="L40" s="12">
        <v>1</v>
      </c>
      <c r="M40" s="8">
        <v>2015</v>
      </c>
      <c r="N40" s="9">
        <v>0</v>
      </c>
      <c r="O40" s="9">
        <v>0</v>
      </c>
      <c r="P40" s="9">
        <v>0</v>
      </c>
      <c r="Q40" s="9">
        <v>247105.63</v>
      </c>
      <c r="R40" s="13">
        <v>41717</v>
      </c>
      <c r="S40" s="13">
        <v>41717</v>
      </c>
    </row>
    <row r="41" spans="1:19">
      <c r="A41" s="10">
        <v>2014</v>
      </c>
      <c r="B41" s="11" t="s">
        <v>489</v>
      </c>
      <c r="C41" s="11" t="s">
        <v>490</v>
      </c>
      <c r="D41" s="12">
        <v>1002052</v>
      </c>
      <c r="E41" s="12">
        <v>2</v>
      </c>
      <c r="F41" s="12"/>
      <c r="G41" s="12">
        <v>310</v>
      </c>
      <c r="H41" s="12">
        <v>5.0999999999999996</v>
      </c>
      <c r="I41" s="12"/>
      <c r="J41" s="12" t="s">
        <v>77</v>
      </c>
      <c r="K41" s="12" t="b">
        <v>1</v>
      </c>
      <c r="L41" s="12">
        <v>2</v>
      </c>
      <c r="M41" s="8">
        <v>2016</v>
      </c>
      <c r="N41" s="9">
        <v>601088.34</v>
      </c>
      <c r="O41" s="9">
        <v>1278520.75</v>
      </c>
      <c r="P41" s="9">
        <v>737521.46</v>
      </c>
      <c r="Q41" s="9">
        <v>737521.46</v>
      </c>
      <c r="R41" s="13">
        <v>41717</v>
      </c>
      <c r="S41" s="13">
        <v>41717</v>
      </c>
    </row>
    <row r="42" spans="1:19">
      <c r="A42" s="10">
        <v>2014</v>
      </c>
      <c r="B42" s="11" t="s">
        <v>489</v>
      </c>
      <c r="C42" s="11" t="s">
        <v>490</v>
      </c>
      <c r="D42" s="12">
        <v>1002052</v>
      </c>
      <c r="E42" s="12">
        <v>2</v>
      </c>
      <c r="F42" s="12"/>
      <c r="G42" s="12">
        <v>690</v>
      </c>
      <c r="H42" s="12" t="s">
        <v>101</v>
      </c>
      <c r="I42" s="12"/>
      <c r="J42" s="12" t="s">
        <v>102</v>
      </c>
      <c r="K42" s="12" t="b">
        <v>1</v>
      </c>
      <c r="L42" s="12">
        <v>3</v>
      </c>
      <c r="M42" s="8">
        <v>2017</v>
      </c>
      <c r="N42" s="9">
        <v>0</v>
      </c>
      <c r="O42" s="9">
        <v>0</v>
      </c>
      <c r="P42" s="9">
        <v>96205.25</v>
      </c>
      <c r="Q42" s="9">
        <v>93191.67</v>
      </c>
      <c r="R42" s="13">
        <v>41717</v>
      </c>
      <c r="S42" s="13">
        <v>41717</v>
      </c>
    </row>
    <row r="43" spans="1:19">
      <c r="A43" s="10">
        <v>2014</v>
      </c>
      <c r="B43" s="11" t="s">
        <v>489</v>
      </c>
      <c r="C43" s="11" t="s">
        <v>490</v>
      </c>
      <c r="D43" s="12">
        <v>1002052</v>
      </c>
      <c r="E43" s="12">
        <v>2</v>
      </c>
      <c r="F43" s="12"/>
      <c r="G43" s="12">
        <v>760</v>
      </c>
      <c r="H43" s="12">
        <v>12.4</v>
      </c>
      <c r="I43" s="12"/>
      <c r="J43" s="12" t="s">
        <v>113</v>
      </c>
      <c r="K43" s="12" t="b">
        <v>1</v>
      </c>
      <c r="L43" s="12">
        <v>1</v>
      </c>
      <c r="M43" s="8">
        <v>2015</v>
      </c>
      <c r="N43" s="9">
        <v>650923.96</v>
      </c>
      <c r="O43" s="9">
        <v>562105.4</v>
      </c>
      <c r="P43" s="9">
        <v>3401517</v>
      </c>
      <c r="Q43" s="9">
        <v>3180695.36</v>
      </c>
      <c r="R43" s="13">
        <v>41717</v>
      </c>
      <c r="S43" s="13">
        <v>41717</v>
      </c>
    </row>
    <row r="44" spans="1:19">
      <c r="A44" s="10">
        <v>2014</v>
      </c>
      <c r="B44" s="11" t="s">
        <v>489</v>
      </c>
      <c r="C44" s="11" t="s">
        <v>490</v>
      </c>
      <c r="D44" s="12">
        <v>1002052</v>
      </c>
      <c r="E44" s="12">
        <v>2</v>
      </c>
      <c r="F44" s="12"/>
      <c r="G44" s="12">
        <v>210</v>
      </c>
      <c r="H44" s="12">
        <v>4</v>
      </c>
      <c r="I44" s="12" t="s">
        <v>373</v>
      </c>
      <c r="J44" s="12" t="s">
        <v>22</v>
      </c>
      <c r="K44" s="12" t="b">
        <v>0</v>
      </c>
      <c r="L44" s="12">
        <v>2</v>
      </c>
      <c r="M44" s="8">
        <v>2016</v>
      </c>
      <c r="N44" s="9">
        <v>2625223.85</v>
      </c>
      <c r="O44" s="9">
        <v>1050519.3700000001</v>
      </c>
      <c r="P44" s="9">
        <v>1850827.74</v>
      </c>
      <c r="Q44" s="9">
        <v>2496104.7400000002</v>
      </c>
      <c r="R44" s="13">
        <v>41717</v>
      </c>
      <c r="S44" s="13">
        <v>41717</v>
      </c>
    </row>
    <row r="45" spans="1:19">
      <c r="A45" s="10">
        <v>2014</v>
      </c>
      <c r="B45" s="11" t="s">
        <v>489</v>
      </c>
      <c r="C45" s="11" t="s">
        <v>490</v>
      </c>
      <c r="D45" s="12">
        <v>1002052</v>
      </c>
      <c r="E45" s="12">
        <v>2</v>
      </c>
      <c r="F45" s="12"/>
      <c r="G45" s="12">
        <v>250</v>
      </c>
      <c r="H45" s="12" t="s">
        <v>70</v>
      </c>
      <c r="I45" s="12"/>
      <c r="J45" s="12" t="s">
        <v>71</v>
      </c>
      <c r="K45" s="12" t="b">
        <v>0</v>
      </c>
      <c r="L45" s="12">
        <v>1</v>
      </c>
      <c r="M45" s="8">
        <v>2015</v>
      </c>
      <c r="N45" s="9">
        <v>0</v>
      </c>
      <c r="O45" s="9">
        <v>0</v>
      </c>
      <c r="P45" s="9">
        <v>1024306.28</v>
      </c>
      <c r="Q45" s="9">
        <v>733144.51</v>
      </c>
      <c r="R45" s="13">
        <v>41717</v>
      </c>
      <c r="S45" s="13">
        <v>41717</v>
      </c>
    </row>
    <row r="46" spans="1:19">
      <c r="A46" s="10">
        <v>2014</v>
      </c>
      <c r="B46" s="11" t="s">
        <v>489</v>
      </c>
      <c r="C46" s="11" t="s">
        <v>490</v>
      </c>
      <c r="D46" s="12">
        <v>1002052</v>
      </c>
      <c r="E46" s="12">
        <v>2</v>
      </c>
      <c r="F46" s="12"/>
      <c r="G46" s="12">
        <v>670</v>
      </c>
      <c r="H46" s="12">
        <v>12.1</v>
      </c>
      <c r="I46" s="12"/>
      <c r="J46" s="12" t="s">
        <v>98</v>
      </c>
      <c r="K46" s="12" t="b">
        <v>1</v>
      </c>
      <c r="L46" s="12">
        <v>1</v>
      </c>
      <c r="M46" s="8">
        <v>2015</v>
      </c>
      <c r="N46" s="9">
        <v>104205.75</v>
      </c>
      <c r="O46" s="9">
        <v>179911.06</v>
      </c>
      <c r="P46" s="9">
        <v>109888.97</v>
      </c>
      <c r="Q46" s="9">
        <v>105623.85</v>
      </c>
      <c r="R46" s="13">
        <v>41717</v>
      </c>
      <c r="S46" s="13">
        <v>41717</v>
      </c>
    </row>
    <row r="47" spans="1:19">
      <c r="A47" s="10">
        <v>2014</v>
      </c>
      <c r="B47" s="11" t="s">
        <v>489</v>
      </c>
      <c r="C47" s="11" t="s">
        <v>490</v>
      </c>
      <c r="D47" s="12">
        <v>1002052</v>
      </c>
      <c r="E47" s="12">
        <v>2</v>
      </c>
      <c r="F47" s="12"/>
      <c r="G47" s="12">
        <v>170</v>
      </c>
      <c r="H47" s="12" t="s">
        <v>63</v>
      </c>
      <c r="I47" s="12"/>
      <c r="J47" s="12" t="s">
        <v>366</v>
      </c>
      <c r="K47" s="12" t="b">
        <v>1</v>
      </c>
      <c r="L47" s="12">
        <v>0</v>
      </c>
      <c r="M47" s="8">
        <v>2014</v>
      </c>
      <c r="N47" s="9">
        <v>41411.769999999997</v>
      </c>
      <c r="O47" s="9">
        <v>84758.58</v>
      </c>
      <c r="P47" s="9">
        <v>95000</v>
      </c>
      <c r="Q47" s="9">
        <v>36975.83</v>
      </c>
      <c r="R47" s="13">
        <v>41717</v>
      </c>
      <c r="S47" s="13">
        <v>41717</v>
      </c>
    </row>
    <row r="48" spans="1:19">
      <c r="A48" s="10">
        <v>2014</v>
      </c>
      <c r="B48" s="11" t="s">
        <v>489</v>
      </c>
      <c r="C48" s="11" t="s">
        <v>490</v>
      </c>
      <c r="D48" s="12">
        <v>1002052</v>
      </c>
      <c r="E48" s="12">
        <v>2</v>
      </c>
      <c r="F48" s="12"/>
      <c r="G48" s="12">
        <v>630</v>
      </c>
      <c r="H48" s="12">
        <v>11.4</v>
      </c>
      <c r="I48" s="12"/>
      <c r="J48" s="12" t="s">
        <v>94</v>
      </c>
      <c r="K48" s="12" t="b">
        <v>1</v>
      </c>
      <c r="L48" s="12">
        <v>0</v>
      </c>
      <c r="M48" s="8">
        <v>2014</v>
      </c>
      <c r="N48" s="9">
        <v>1173514.32</v>
      </c>
      <c r="O48" s="9">
        <v>835040.96</v>
      </c>
      <c r="P48" s="9">
        <v>3401517</v>
      </c>
      <c r="Q48" s="9">
        <v>3180695.36</v>
      </c>
      <c r="R48" s="13">
        <v>41717</v>
      </c>
      <c r="S48" s="13">
        <v>41717</v>
      </c>
    </row>
    <row r="49" spans="1:19">
      <c r="A49" s="10">
        <v>2014</v>
      </c>
      <c r="B49" s="11" t="s">
        <v>489</v>
      </c>
      <c r="C49" s="11" t="s">
        <v>490</v>
      </c>
      <c r="D49" s="12">
        <v>1002052</v>
      </c>
      <c r="E49" s="12">
        <v>2</v>
      </c>
      <c r="F49" s="12"/>
      <c r="G49" s="12">
        <v>336</v>
      </c>
      <c r="H49" s="12" t="s">
        <v>380</v>
      </c>
      <c r="I49" s="12"/>
      <c r="J49" s="12" t="s">
        <v>381</v>
      </c>
      <c r="K49" s="12" t="b">
        <v>1</v>
      </c>
      <c r="L49" s="12">
        <v>2</v>
      </c>
      <c r="M49" s="8">
        <v>2016</v>
      </c>
      <c r="N49" s="9">
        <v>0</v>
      </c>
      <c r="O49" s="9">
        <v>0</v>
      </c>
      <c r="P49" s="9">
        <v>0</v>
      </c>
      <c r="Q49" s="9">
        <v>0</v>
      </c>
      <c r="R49" s="13">
        <v>41717</v>
      </c>
      <c r="S49" s="13">
        <v>41717</v>
      </c>
    </row>
    <row r="50" spans="1:19">
      <c r="A50" s="10">
        <v>2014</v>
      </c>
      <c r="B50" s="11" t="s">
        <v>489</v>
      </c>
      <c r="C50" s="11" t="s">
        <v>490</v>
      </c>
      <c r="D50" s="12">
        <v>1002052</v>
      </c>
      <c r="E50" s="12">
        <v>2</v>
      </c>
      <c r="F50" s="12"/>
      <c r="G50" s="12">
        <v>490</v>
      </c>
      <c r="H50" s="12">
        <v>9.3000000000000007</v>
      </c>
      <c r="I50" s="12"/>
      <c r="J50" s="12" t="s">
        <v>389</v>
      </c>
      <c r="K50" s="12" t="b">
        <v>1</v>
      </c>
      <c r="L50" s="12">
        <v>1</v>
      </c>
      <c r="M50" s="8">
        <v>2015</v>
      </c>
      <c r="N50" s="9">
        <v>0</v>
      </c>
      <c r="O50" s="9">
        <v>0</v>
      </c>
      <c r="P50" s="9">
        <v>0</v>
      </c>
      <c r="Q50" s="9">
        <v>0</v>
      </c>
      <c r="R50" s="13">
        <v>41717</v>
      </c>
      <c r="S50" s="13">
        <v>41717</v>
      </c>
    </row>
    <row r="51" spans="1:19">
      <c r="A51" s="10">
        <v>2014</v>
      </c>
      <c r="B51" s="11" t="s">
        <v>489</v>
      </c>
      <c r="C51" s="11" t="s">
        <v>490</v>
      </c>
      <c r="D51" s="12">
        <v>1002052</v>
      </c>
      <c r="E51" s="12">
        <v>2</v>
      </c>
      <c r="F51" s="12"/>
      <c r="G51" s="12">
        <v>940</v>
      </c>
      <c r="H51" s="12">
        <v>14.4</v>
      </c>
      <c r="I51" s="12"/>
      <c r="J51" s="12" t="s">
        <v>135</v>
      </c>
      <c r="K51" s="12" t="b">
        <v>1</v>
      </c>
      <c r="L51" s="12">
        <v>3</v>
      </c>
      <c r="M51" s="8">
        <v>2017</v>
      </c>
      <c r="N51" s="9">
        <v>0</v>
      </c>
      <c r="O51" s="9">
        <v>0</v>
      </c>
      <c r="P51" s="9">
        <v>0</v>
      </c>
      <c r="Q51" s="9">
        <v>0</v>
      </c>
      <c r="R51" s="13">
        <v>41717</v>
      </c>
      <c r="S51" s="13">
        <v>41717</v>
      </c>
    </row>
    <row r="52" spans="1:19">
      <c r="A52" s="10">
        <v>2014</v>
      </c>
      <c r="B52" s="11" t="s">
        <v>489</v>
      </c>
      <c r="C52" s="11" t="s">
        <v>490</v>
      </c>
      <c r="D52" s="12">
        <v>1002052</v>
      </c>
      <c r="E52" s="12">
        <v>2</v>
      </c>
      <c r="F52" s="12"/>
      <c r="G52" s="12">
        <v>620</v>
      </c>
      <c r="H52" s="12" t="s">
        <v>92</v>
      </c>
      <c r="I52" s="12"/>
      <c r="J52" s="12" t="s">
        <v>93</v>
      </c>
      <c r="K52" s="12" t="b">
        <v>1</v>
      </c>
      <c r="L52" s="12">
        <v>1</v>
      </c>
      <c r="M52" s="8">
        <v>2015</v>
      </c>
      <c r="N52" s="9">
        <v>1357691.17</v>
      </c>
      <c r="O52" s="9">
        <v>562105.4</v>
      </c>
      <c r="P52" s="9">
        <v>3401517</v>
      </c>
      <c r="Q52" s="9">
        <v>3180695.36</v>
      </c>
      <c r="R52" s="13">
        <v>41717</v>
      </c>
      <c r="S52" s="13">
        <v>41717</v>
      </c>
    </row>
    <row r="53" spans="1:19">
      <c r="A53" s="10">
        <v>2014</v>
      </c>
      <c r="B53" s="11" t="s">
        <v>489</v>
      </c>
      <c r="C53" s="11" t="s">
        <v>490</v>
      </c>
      <c r="D53" s="12">
        <v>1002052</v>
      </c>
      <c r="E53" s="12">
        <v>2</v>
      </c>
      <c r="F53" s="12"/>
      <c r="G53" s="12">
        <v>930</v>
      </c>
      <c r="H53" s="12" t="s">
        <v>133</v>
      </c>
      <c r="I53" s="12"/>
      <c r="J53" s="12" t="s">
        <v>134</v>
      </c>
      <c r="K53" s="12" t="b">
        <v>1</v>
      </c>
      <c r="L53" s="12">
        <v>3</v>
      </c>
      <c r="M53" s="8">
        <v>2017</v>
      </c>
      <c r="N53" s="9">
        <v>0</v>
      </c>
      <c r="O53" s="9">
        <v>0</v>
      </c>
      <c r="P53" s="9">
        <v>0</v>
      </c>
      <c r="Q53" s="9">
        <v>0</v>
      </c>
      <c r="R53" s="13">
        <v>41717</v>
      </c>
      <c r="S53" s="13">
        <v>41717</v>
      </c>
    </row>
    <row r="54" spans="1:19">
      <c r="A54" s="10">
        <v>2014</v>
      </c>
      <c r="B54" s="11" t="s">
        <v>489</v>
      </c>
      <c r="C54" s="11" t="s">
        <v>490</v>
      </c>
      <c r="D54" s="12">
        <v>1002052</v>
      </c>
      <c r="E54" s="12">
        <v>2</v>
      </c>
      <c r="F54" s="12"/>
      <c r="G54" s="12">
        <v>760</v>
      </c>
      <c r="H54" s="12">
        <v>12.4</v>
      </c>
      <c r="I54" s="12"/>
      <c r="J54" s="12" t="s">
        <v>113</v>
      </c>
      <c r="K54" s="12" t="b">
        <v>1</v>
      </c>
      <c r="L54" s="12">
        <v>0</v>
      </c>
      <c r="M54" s="8">
        <v>2014</v>
      </c>
      <c r="N54" s="9">
        <v>650923.96</v>
      </c>
      <c r="O54" s="9">
        <v>562105.4</v>
      </c>
      <c r="P54" s="9">
        <v>3401517</v>
      </c>
      <c r="Q54" s="9">
        <v>3180695.36</v>
      </c>
      <c r="R54" s="13">
        <v>41717</v>
      </c>
      <c r="S54" s="13">
        <v>41717</v>
      </c>
    </row>
    <row r="55" spans="1:19">
      <c r="A55" s="10">
        <v>2014</v>
      </c>
      <c r="B55" s="11" t="s">
        <v>489</v>
      </c>
      <c r="C55" s="11" t="s">
        <v>490</v>
      </c>
      <c r="D55" s="12">
        <v>1002052</v>
      </c>
      <c r="E55" s="12">
        <v>2</v>
      </c>
      <c r="F55" s="12"/>
      <c r="G55" s="12">
        <v>620</v>
      </c>
      <c r="H55" s="12" t="s">
        <v>92</v>
      </c>
      <c r="I55" s="12"/>
      <c r="J55" s="12" t="s">
        <v>93</v>
      </c>
      <c r="K55" s="12" t="b">
        <v>1</v>
      </c>
      <c r="L55" s="12">
        <v>2</v>
      </c>
      <c r="M55" s="8">
        <v>2016</v>
      </c>
      <c r="N55" s="9">
        <v>1357691.17</v>
      </c>
      <c r="O55" s="9">
        <v>562105.4</v>
      </c>
      <c r="P55" s="9">
        <v>3401517</v>
      </c>
      <c r="Q55" s="9">
        <v>3180695.36</v>
      </c>
      <c r="R55" s="13">
        <v>41717</v>
      </c>
      <c r="S55" s="13">
        <v>41717</v>
      </c>
    </row>
    <row r="56" spans="1:19">
      <c r="A56" s="10">
        <v>2014</v>
      </c>
      <c r="B56" s="11" t="s">
        <v>489</v>
      </c>
      <c r="C56" s="11" t="s">
        <v>490</v>
      </c>
      <c r="D56" s="12">
        <v>1002052</v>
      </c>
      <c r="E56" s="12">
        <v>2</v>
      </c>
      <c r="F56" s="12"/>
      <c r="G56" s="12">
        <v>10</v>
      </c>
      <c r="H56" s="12">
        <v>1</v>
      </c>
      <c r="I56" s="12" t="s">
        <v>492</v>
      </c>
      <c r="J56" s="12" t="s">
        <v>24</v>
      </c>
      <c r="K56" s="12" t="b">
        <v>1</v>
      </c>
      <c r="L56" s="12">
        <v>0</v>
      </c>
      <c r="M56" s="8">
        <v>2014</v>
      </c>
      <c r="N56" s="9">
        <v>11735693.560000001</v>
      </c>
      <c r="O56" s="9">
        <v>14062028.15</v>
      </c>
      <c r="P56" s="9">
        <v>13471394.42</v>
      </c>
      <c r="Q56" s="9">
        <v>12708280.6</v>
      </c>
      <c r="R56" s="13">
        <v>41717</v>
      </c>
      <c r="S56" s="13">
        <v>41717</v>
      </c>
    </row>
    <row r="57" spans="1:19">
      <c r="A57" s="10">
        <v>2014</v>
      </c>
      <c r="B57" s="11" t="s">
        <v>489</v>
      </c>
      <c r="C57" s="11" t="s">
        <v>490</v>
      </c>
      <c r="D57" s="12">
        <v>1002052</v>
      </c>
      <c r="E57" s="12">
        <v>2</v>
      </c>
      <c r="F57" s="12"/>
      <c r="G57" s="12">
        <v>184</v>
      </c>
      <c r="H57" s="12" t="s">
        <v>370</v>
      </c>
      <c r="I57" s="12"/>
      <c r="J57" s="12" t="s">
        <v>371</v>
      </c>
      <c r="K57" s="12" t="b">
        <v>0</v>
      </c>
      <c r="L57" s="12">
        <v>3</v>
      </c>
      <c r="M57" s="8">
        <v>2017</v>
      </c>
      <c r="N57" s="9">
        <v>0</v>
      </c>
      <c r="O57" s="9">
        <v>0</v>
      </c>
      <c r="P57" s="9">
        <v>0</v>
      </c>
      <c r="Q57" s="9">
        <v>0</v>
      </c>
      <c r="R57" s="13">
        <v>41717</v>
      </c>
      <c r="S57" s="13">
        <v>41717</v>
      </c>
    </row>
    <row r="58" spans="1:19">
      <c r="A58" s="10">
        <v>2014</v>
      </c>
      <c r="B58" s="11" t="s">
        <v>489</v>
      </c>
      <c r="C58" s="11" t="s">
        <v>490</v>
      </c>
      <c r="D58" s="12">
        <v>1002052</v>
      </c>
      <c r="E58" s="12">
        <v>2</v>
      </c>
      <c r="F58" s="12"/>
      <c r="G58" s="12">
        <v>280</v>
      </c>
      <c r="H58" s="12">
        <v>4.4000000000000004</v>
      </c>
      <c r="I58" s="12"/>
      <c r="J58" s="12" t="s">
        <v>74</v>
      </c>
      <c r="K58" s="12" t="b">
        <v>0</v>
      </c>
      <c r="L58" s="12">
        <v>2</v>
      </c>
      <c r="M58" s="8">
        <v>2016</v>
      </c>
      <c r="N58" s="9">
        <v>21393.72</v>
      </c>
      <c r="O58" s="9">
        <v>0</v>
      </c>
      <c r="P58" s="9">
        <v>24682</v>
      </c>
      <c r="Q58" s="9">
        <v>24682</v>
      </c>
      <c r="R58" s="13">
        <v>41717</v>
      </c>
      <c r="S58" s="13">
        <v>41717</v>
      </c>
    </row>
    <row r="59" spans="1:19">
      <c r="A59" s="10">
        <v>2014</v>
      </c>
      <c r="B59" s="11" t="s">
        <v>489</v>
      </c>
      <c r="C59" s="11" t="s">
        <v>490</v>
      </c>
      <c r="D59" s="12">
        <v>1002052</v>
      </c>
      <c r="E59" s="12">
        <v>2</v>
      </c>
      <c r="F59" s="12"/>
      <c r="G59" s="12">
        <v>690</v>
      </c>
      <c r="H59" s="12" t="s">
        <v>101</v>
      </c>
      <c r="I59" s="12"/>
      <c r="J59" s="12" t="s">
        <v>102</v>
      </c>
      <c r="K59" s="12" t="b">
        <v>1</v>
      </c>
      <c r="L59" s="12">
        <v>0</v>
      </c>
      <c r="M59" s="8">
        <v>2014</v>
      </c>
      <c r="N59" s="9">
        <v>0</v>
      </c>
      <c r="O59" s="9">
        <v>0</v>
      </c>
      <c r="P59" s="9">
        <v>96205.25</v>
      </c>
      <c r="Q59" s="9">
        <v>93191.67</v>
      </c>
      <c r="R59" s="13">
        <v>41717</v>
      </c>
      <c r="S59" s="13">
        <v>41717</v>
      </c>
    </row>
    <row r="60" spans="1:19">
      <c r="A60" s="10">
        <v>2014</v>
      </c>
      <c r="B60" s="11" t="s">
        <v>489</v>
      </c>
      <c r="C60" s="11" t="s">
        <v>490</v>
      </c>
      <c r="D60" s="12">
        <v>1002052</v>
      </c>
      <c r="E60" s="12">
        <v>2</v>
      </c>
      <c r="F60" s="12"/>
      <c r="G60" s="12">
        <v>30</v>
      </c>
      <c r="H60" s="12" t="s">
        <v>41</v>
      </c>
      <c r="I60" s="12"/>
      <c r="J60" s="12" t="s">
        <v>42</v>
      </c>
      <c r="K60" s="12" t="b">
        <v>1</v>
      </c>
      <c r="L60" s="12">
        <v>3</v>
      </c>
      <c r="M60" s="8">
        <v>2017</v>
      </c>
      <c r="N60" s="9">
        <v>976091</v>
      </c>
      <c r="O60" s="9">
        <v>1398132</v>
      </c>
      <c r="P60" s="9">
        <v>1443005</v>
      </c>
      <c r="Q60" s="9">
        <v>1390365</v>
      </c>
      <c r="R60" s="13">
        <v>41717</v>
      </c>
      <c r="S60" s="13">
        <v>41717</v>
      </c>
    </row>
    <row r="61" spans="1:19">
      <c r="A61" s="10">
        <v>2014</v>
      </c>
      <c r="B61" s="11" t="s">
        <v>489</v>
      </c>
      <c r="C61" s="11" t="s">
        <v>490</v>
      </c>
      <c r="D61" s="12">
        <v>1002052</v>
      </c>
      <c r="E61" s="12">
        <v>2</v>
      </c>
      <c r="F61" s="12"/>
      <c r="G61" s="12">
        <v>600</v>
      </c>
      <c r="H61" s="12">
        <v>11.3</v>
      </c>
      <c r="I61" s="12" t="s">
        <v>401</v>
      </c>
      <c r="J61" s="12" t="s">
        <v>402</v>
      </c>
      <c r="K61" s="12" t="b">
        <v>1</v>
      </c>
      <c r="L61" s="12">
        <v>1</v>
      </c>
      <c r="M61" s="8">
        <v>2015</v>
      </c>
      <c r="N61" s="9">
        <v>1480853.69</v>
      </c>
      <c r="O61" s="9">
        <v>718974.51</v>
      </c>
      <c r="P61" s="9">
        <v>3546636.65</v>
      </c>
      <c r="Q61" s="9">
        <v>3319528.6</v>
      </c>
      <c r="R61" s="13">
        <v>41717</v>
      </c>
      <c r="S61" s="13">
        <v>41717</v>
      </c>
    </row>
    <row r="62" spans="1:19">
      <c r="A62" s="10">
        <v>2014</v>
      </c>
      <c r="B62" s="11" t="s">
        <v>489</v>
      </c>
      <c r="C62" s="11" t="s">
        <v>490</v>
      </c>
      <c r="D62" s="12">
        <v>1002052</v>
      </c>
      <c r="E62" s="12">
        <v>2</v>
      </c>
      <c r="F62" s="12"/>
      <c r="G62" s="12">
        <v>820</v>
      </c>
      <c r="H62" s="12">
        <v>13.3</v>
      </c>
      <c r="I62" s="12"/>
      <c r="J62" s="12" t="s">
        <v>121</v>
      </c>
      <c r="K62" s="12" t="b">
        <v>1</v>
      </c>
      <c r="L62" s="12">
        <v>1</v>
      </c>
      <c r="M62" s="8">
        <v>2015</v>
      </c>
      <c r="N62" s="9">
        <v>0</v>
      </c>
      <c r="O62" s="9">
        <v>0</v>
      </c>
      <c r="P62" s="9">
        <v>0</v>
      </c>
      <c r="Q62" s="9">
        <v>0</v>
      </c>
      <c r="R62" s="13">
        <v>41717</v>
      </c>
      <c r="S62" s="13">
        <v>41717</v>
      </c>
    </row>
    <row r="63" spans="1:19">
      <c r="A63" s="10">
        <v>2014</v>
      </c>
      <c r="B63" s="11" t="s">
        <v>489</v>
      </c>
      <c r="C63" s="11" t="s">
        <v>490</v>
      </c>
      <c r="D63" s="12">
        <v>1002052</v>
      </c>
      <c r="E63" s="12">
        <v>2</v>
      </c>
      <c r="F63" s="12"/>
      <c r="G63" s="12">
        <v>60</v>
      </c>
      <c r="H63" s="12" t="s">
        <v>47</v>
      </c>
      <c r="I63" s="12"/>
      <c r="J63" s="12" t="s">
        <v>48</v>
      </c>
      <c r="K63" s="12" t="b">
        <v>1</v>
      </c>
      <c r="L63" s="12">
        <v>0</v>
      </c>
      <c r="M63" s="8">
        <v>2014</v>
      </c>
      <c r="N63" s="9">
        <v>849319.19</v>
      </c>
      <c r="O63" s="9">
        <v>1608877.11</v>
      </c>
      <c r="P63" s="9">
        <v>1644617.4</v>
      </c>
      <c r="Q63" s="9">
        <v>1467888.16</v>
      </c>
      <c r="R63" s="13">
        <v>41717</v>
      </c>
      <c r="S63" s="13">
        <v>41717</v>
      </c>
    </row>
    <row r="64" spans="1:19">
      <c r="A64" s="10">
        <v>2014</v>
      </c>
      <c r="B64" s="11" t="s">
        <v>489</v>
      </c>
      <c r="C64" s="11" t="s">
        <v>490</v>
      </c>
      <c r="D64" s="12">
        <v>1002052</v>
      </c>
      <c r="E64" s="12">
        <v>2</v>
      </c>
      <c r="F64" s="12"/>
      <c r="G64" s="12">
        <v>10</v>
      </c>
      <c r="H64" s="12">
        <v>1</v>
      </c>
      <c r="I64" s="12" t="s">
        <v>492</v>
      </c>
      <c r="J64" s="12" t="s">
        <v>24</v>
      </c>
      <c r="K64" s="12" t="b">
        <v>1</v>
      </c>
      <c r="L64" s="12">
        <v>1</v>
      </c>
      <c r="M64" s="8">
        <v>2015</v>
      </c>
      <c r="N64" s="9">
        <v>11735693.560000001</v>
      </c>
      <c r="O64" s="9">
        <v>14062028.15</v>
      </c>
      <c r="P64" s="9">
        <v>13471394.42</v>
      </c>
      <c r="Q64" s="9">
        <v>12708280.6</v>
      </c>
      <c r="R64" s="13">
        <v>41717</v>
      </c>
      <c r="S64" s="13">
        <v>41717</v>
      </c>
    </row>
    <row r="65" spans="1:19">
      <c r="A65" s="10">
        <v>2014</v>
      </c>
      <c r="B65" s="11" t="s">
        <v>489</v>
      </c>
      <c r="C65" s="11" t="s">
        <v>490</v>
      </c>
      <c r="D65" s="12">
        <v>1002052</v>
      </c>
      <c r="E65" s="12">
        <v>2</v>
      </c>
      <c r="F65" s="12"/>
      <c r="G65" s="12">
        <v>350</v>
      </c>
      <c r="H65" s="12">
        <v>6</v>
      </c>
      <c r="I65" s="12"/>
      <c r="J65" s="12" t="s">
        <v>25</v>
      </c>
      <c r="K65" s="12" t="b">
        <v>1</v>
      </c>
      <c r="L65" s="12">
        <v>3</v>
      </c>
      <c r="M65" s="8">
        <v>2017</v>
      </c>
      <c r="N65" s="9">
        <v>2552998.4</v>
      </c>
      <c r="O65" s="9">
        <v>1422477.65</v>
      </c>
      <c r="P65" s="9">
        <v>773956.19</v>
      </c>
      <c r="Q65" s="9">
        <v>773956.19</v>
      </c>
      <c r="R65" s="13">
        <v>41717</v>
      </c>
      <c r="S65" s="13">
        <v>41717</v>
      </c>
    </row>
    <row r="66" spans="1:19">
      <c r="A66" s="10">
        <v>2014</v>
      </c>
      <c r="B66" s="11" t="s">
        <v>489</v>
      </c>
      <c r="C66" s="11" t="s">
        <v>490</v>
      </c>
      <c r="D66" s="12">
        <v>1002052</v>
      </c>
      <c r="E66" s="12">
        <v>2</v>
      </c>
      <c r="F66" s="12"/>
      <c r="G66" s="12">
        <v>530</v>
      </c>
      <c r="H66" s="12">
        <v>9.6999999999999993</v>
      </c>
      <c r="I66" s="12" t="s">
        <v>397</v>
      </c>
      <c r="J66" s="12" t="s">
        <v>398</v>
      </c>
      <c r="K66" s="12" t="b">
        <v>0</v>
      </c>
      <c r="L66" s="12">
        <v>3</v>
      </c>
      <c r="M66" s="8">
        <v>2017</v>
      </c>
      <c r="N66" s="9">
        <v>7.4000000000000003E-3</v>
      </c>
      <c r="O66" s="9">
        <v>5.45E-2</v>
      </c>
      <c r="P66" s="9">
        <v>6.1800000000000001E-2</v>
      </c>
      <c r="Q66" s="9">
        <v>6.0900000000000003E-2</v>
      </c>
      <c r="R66" s="13">
        <v>41717</v>
      </c>
      <c r="S66" s="13">
        <v>41717</v>
      </c>
    </row>
    <row r="67" spans="1:19">
      <c r="A67" s="10">
        <v>2014</v>
      </c>
      <c r="B67" s="11" t="s">
        <v>489</v>
      </c>
      <c r="C67" s="11" t="s">
        <v>490</v>
      </c>
      <c r="D67" s="12">
        <v>1002052</v>
      </c>
      <c r="E67" s="12">
        <v>2</v>
      </c>
      <c r="F67" s="12"/>
      <c r="G67" s="12">
        <v>530</v>
      </c>
      <c r="H67" s="12">
        <v>9.6999999999999993</v>
      </c>
      <c r="I67" s="12" t="s">
        <v>397</v>
      </c>
      <c r="J67" s="12" t="s">
        <v>398</v>
      </c>
      <c r="K67" s="12" t="b">
        <v>0</v>
      </c>
      <c r="L67" s="12">
        <v>2</v>
      </c>
      <c r="M67" s="8">
        <v>2016</v>
      </c>
      <c r="N67" s="9">
        <v>7.4000000000000003E-3</v>
      </c>
      <c r="O67" s="9">
        <v>5.45E-2</v>
      </c>
      <c r="P67" s="9">
        <v>6.1800000000000001E-2</v>
      </c>
      <c r="Q67" s="9">
        <v>6.0900000000000003E-2</v>
      </c>
      <c r="R67" s="13">
        <v>41717</v>
      </c>
      <c r="S67" s="13">
        <v>41717</v>
      </c>
    </row>
    <row r="68" spans="1:19">
      <c r="A68" s="10">
        <v>2014</v>
      </c>
      <c r="B68" s="11" t="s">
        <v>489</v>
      </c>
      <c r="C68" s="11" t="s">
        <v>490</v>
      </c>
      <c r="D68" s="12">
        <v>1002052</v>
      </c>
      <c r="E68" s="12">
        <v>2</v>
      </c>
      <c r="F68" s="12"/>
      <c r="G68" s="12">
        <v>420</v>
      </c>
      <c r="H68" s="12">
        <v>8.1</v>
      </c>
      <c r="I68" s="12" t="s">
        <v>382</v>
      </c>
      <c r="J68" s="12" t="s">
        <v>82</v>
      </c>
      <c r="K68" s="12" t="b">
        <v>0</v>
      </c>
      <c r="L68" s="12">
        <v>0</v>
      </c>
      <c r="M68" s="8">
        <v>2014</v>
      </c>
      <c r="N68" s="9">
        <v>975297.61</v>
      </c>
      <c r="O68" s="9">
        <v>3604694.11</v>
      </c>
      <c r="P68" s="9">
        <v>2504739.7200000002</v>
      </c>
      <c r="Q68" s="9">
        <v>2583957.89</v>
      </c>
      <c r="R68" s="13">
        <v>41717</v>
      </c>
      <c r="S68" s="13">
        <v>41717</v>
      </c>
    </row>
    <row r="69" spans="1:19">
      <c r="A69" s="10">
        <v>2014</v>
      </c>
      <c r="B69" s="11" t="s">
        <v>489</v>
      </c>
      <c r="C69" s="11" t="s">
        <v>490</v>
      </c>
      <c r="D69" s="12">
        <v>1002052</v>
      </c>
      <c r="E69" s="12">
        <v>2</v>
      </c>
      <c r="F69" s="12"/>
      <c r="G69" s="12">
        <v>910</v>
      </c>
      <c r="H69" s="12" t="s">
        <v>130</v>
      </c>
      <c r="I69" s="12"/>
      <c r="J69" s="12" t="s">
        <v>131</v>
      </c>
      <c r="K69" s="12" t="b">
        <v>1</v>
      </c>
      <c r="L69" s="12">
        <v>0</v>
      </c>
      <c r="M69" s="8">
        <v>2014</v>
      </c>
      <c r="N69" s="9">
        <v>0</v>
      </c>
      <c r="O69" s="9">
        <v>0</v>
      </c>
      <c r="P69" s="9">
        <v>0</v>
      </c>
      <c r="Q69" s="9">
        <v>0</v>
      </c>
      <c r="R69" s="13">
        <v>41717</v>
      </c>
      <c r="S69" s="13">
        <v>41717</v>
      </c>
    </row>
    <row r="70" spans="1:19">
      <c r="A70" s="10">
        <v>2014</v>
      </c>
      <c r="B70" s="11" t="s">
        <v>489</v>
      </c>
      <c r="C70" s="11" t="s">
        <v>490</v>
      </c>
      <c r="D70" s="12">
        <v>1002052</v>
      </c>
      <c r="E70" s="12">
        <v>2</v>
      </c>
      <c r="F70" s="12"/>
      <c r="G70" s="12">
        <v>765</v>
      </c>
      <c r="H70" s="12">
        <v>12.6</v>
      </c>
      <c r="I70" s="12"/>
      <c r="J70" s="12" t="s">
        <v>408</v>
      </c>
      <c r="K70" s="12" t="b">
        <v>1</v>
      </c>
      <c r="L70" s="12">
        <v>3</v>
      </c>
      <c r="M70" s="8">
        <v>2017</v>
      </c>
      <c r="N70" s="9">
        <v>0</v>
      </c>
      <c r="O70" s="9">
        <v>0</v>
      </c>
      <c r="P70" s="9">
        <v>0</v>
      </c>
      <c r="Q70" s="9">
        <v>0</v>
      </c>
      <c r="R70" s="13">
        <v>41717</v>
      </c>
      <c r="S70" s="13">
        <v>41717</v>
      </c>
    </row>
    <row r="71" spans="1:19">
      <c r="A71" s="10">
        <v>2014</v>
      </c>
      <c r="B71" s="11" t="s">
        <v>489</v>
      </c>
      <c r="C71" s="11" t="s">
        <v>490</v>
      </c>
      <c r="D71" s="12">
        <v>1002052</v>
      </c>
      <c r="E71" s="12">
        <v>2</v>
      </c>
      <c r="F71" s="12"/>
      <c r="G71" s="12">
        <v>210</v>
      </c>
      <c r="H71" s="12">
        <v>4</v>
      </c>
      <c r="I71" s="12" t="s">
        <v>373</v>
      </c>
      <c r="J71" s="12" t="s">
        <v>22</v>
      </c>
      <c r="K71" s="12" t="b">
        <v>0</v>
      </c>
      <c r="L71" s="12">
        <v>1</v>
      </c>
      <c r="M71" s="8">
        <v>2015</v>
      </c>
      <c r="N71" s="9">
        <v>2625223.85</v>
      </c>
      <c r="O71" s="9">
        <v>1050519.3700000001</v>
      </c>
      <c r="P71" s="9">
        <v>1850827.74</v>
      </c>
      <c r="Q71" s="9">
        <v>2496104.7400000002</v>
      </c>
      <c r="R71" s="13">
        <v>41717</v>
      </c>
      <c r="S71" s="13">
        <v>41717</v>
      </c>
    </row>
    <row r="72" spans="1:19">
      <c r="A72" s="10">
        <v>2014</v>
      </c>
      <c r="B72" s="11" t="s">
        <v>489</v>
      </c>
      <c r="C72" s="11" t="s">
        <v>490</v>
      </c>
      <c r="D72" s="12">
        <v>1002052</v>
      </c>
      <c r="E72" s="12">
        <v>2</v>
      </c>
      <c r="F72" s="12"/>
      <c r="G72" s="12">
        <v>710</v>
      </c>
      <c r="H72" s="12" t="s">
        <v>104</v>
      </c>
      <c r="I72" s="12"/>
      <c r="J72" s="12" t="s">
        <v>105</v>
      </c>
      <c r="K72" s="12" t="b">
        <v>0</v>
      </c>
      <c r="L72" s="12">
        <v>3</v>
      </c>
      <c r="M72" s="8">
        <v>2017</v>
      </c>
      <c r="N72" s="9">
        <v>1041937.3</v>
      </c>
      <c r="O72" s="9">
        <v>826032</v>
      </c>
      <c r="P72" s="9">
        <v>232602</v>
      </c>
      <c r="Q72" s="9">
        <v>232601.81</v>
      </c>
      <c r="R72" s="13">
        <v>41717</v>
      </c>
      <c r="S72" s="13">
        <v>41717</v>
      </c>
    </row>
    <row r="73" spans="1:19">
      <c r="A73" s="10">
        <v>2014</v>
      </c>
      <c r="B73" s="11" t="s">
        <v>489</v>
      </c>
      <c r="C73" s="11" t="s">
        <v>490</v>
      </c>
      <c r="D73" s="12">
        <v>1002052</v>
      </c>
      <c r="E73" s="12">
        <v>2</v>
      </c>
      <c r="F73" s="12"/>
      <c r="G73" s="12">
        <v>800</v>
      </c>
      <c r="H73" s="12">
        <v>13.1</v>
      </c>
      <c r="I73" s="12"/>
      <c r="J73" s="12" t="s">
        <v>119</v>
      </c>
      <c r="K73" s="12" t="b">
        <v>1</v>
      </c>
      <c r="L73" s="12">
        <v>3</v>
      </c>
      <c r="M73" s="8">
        <v>2017</v>
      </c>
      <c r="N73" s="9">
        <v>0</v>
      </c>
      <c r="O73" s="9">
        <v>0</v>
      </c>
      <c r="P73" s="9">
        <v>0</v>
      </c>
      <c r="Q73" s="9">
        <v>0</v>
      </c>
      <c r="R73" s="13">
        <v>41717</v>
      </c>
      <c r="S73" s="13">
        <v>41717</v>
      </c>
    </row>
    <row r="74" spans="1:19">
      <c r="A74" s="10">
        <v>2014</v>
      </c>
      <c r="B74" s="11" t="s">
        <v>489</v>
      </c>
      <c r="C74" s="11" t="s">
        <v>490</v>
      </c>
      <c r="D74" s="12">
        <v>1002052</v>
      </c>
      <c r="E74" s="12">
        <v>2</v>
      </c>
      <c r="F74" s="12"/>
      <c r="G74" s="12">
        <v>970</v>
      </c>
      <c r="H74" s="12" t="s">
        <v>420</v>
      </c>
      <c r="I74" s="12"/>
      <c r="J74" s="12" t="s">
        <v>421</v>
      </c>
      <c r="K74" s="12" t="b">
        <v>1</v>
      </c>
      <c r="L74" s="12">
        <v>2</v>
      </c>
      <c r="M74" s="8">
        <v>2016</v>
      </c>
      <c r="N74" s="9">
        <v>0</v>
      </c>
      <c r="O74" s="9">
        <v>0</v>
      </c>
      <c r="P74" s="9">
        <v>0</v>
      </c>
      <c r="Q74" s="9">
        <v>0</v>
      </c>
      <c r="R74" s="13">
        <v>41717</v>
      </c>
      <c r="S74" s="13">
        <v>41717</v>
      </c>
    </row>
    <row r="75" spans="1:19">
      <c r="A75" s="10">
        <v>2014</v>
      </c>
      <c r="B75" s="11" t="s">
        <v>489</v>
      </c>
      <c r="C75" s="11" t="s">
        <v>490</v>
      </c>
      <c r="D75" s="12">
        <v>1002052</v>
      </c>
      <c r="E75" s="12">
        <v>2</v>
      </c>
      <c r="F75" s="12"/>
      <c r="G75" s="12">
        <v>500</v>
      </c>
      <c r="H75" s="12">
        <v>9.4</v>
      </c>
      <c r="I75" s="12" t="s">
        <v>390</v>
      </c>
      <c r="J75" s="12" t="s">
        <v>391</v>
      </c>
      <c r="K75" s="12" t="b">
        <v>0</v>
      </c>
      <c r="L75" s="12">
        <v>3</v>
      </c>
      <c r="M75" s="8">
        <v>2017</v>
      </c>
      <c r="N75" s="9">
        <v>7.4000000000000003E-3</v>
      </c>
      <c r="O75" s="9">
        <v>5.45E-2</v>
      </c>
      <c r="P75" s="9">
        <v>6.1800000000000001E-2</v>
      </c>
      <c r="Q75" s="9">
        <v>6.0900000000000003E-2</v>
      </c>
      <c r="R75" s="13">
        <v>41717</v>
      </c>
      <c r="S75" s="13">
        <v>41717</v>
      </c>
    </row>
    <row r="76" spans="1:19">
      <c r="A76" s="10">
        <v>2014</v>
      </c>
      <c r="B76" s="11" t="s">
        <v>489</v>
      </c>
      <c r="C76" s="11" t="s">
        <v>490</v>
      </c>
      <c r="D76" s="12">
        <v>1002052</v>
      </c>
      <c r="E76" s="12">
        <v>2</v>
      </c>
      <c r="F76" s="12"/>
      <c r="G76" s="12">
        <v>182</v>
      </c>
      <c r="H76" s="12" t="s">
        <v>368</v>
      </c>
      <c r="I76" s="12"/>
      <c r="J76" s="12" t="s">
        <v>369</v>
      </c>
      <c r="K76" s="12" t="b">
        <v>0</v>
      </c>
      <c r="L76" s="12">
        <v>1</v>
      </c>
      <c r="M76" s="8">
        <v>2015</v>
      </c>
      <c r="N76" s="9">
        <v>0</v>
      </c>
      <c r="O76" s="9">
        <v>0</v>
      </c>
      <c r="P76" s="9">
        <v>0</v>
      </c>
      <c r="Q76" s="9">
        <v>0</v>
      </c>
      <c r="R76" s="13">
        <v>41717</v>
      </c>
      <c r="S76" s="13">
        <v>41717</v>
      </c>
    </row>
    <row r="77" spans="1:19">
      <c r="A77" s="10">
        <v>2014</v>
      </c>
      <c r="B77" s="11" t="s">
        <v>489</v>
      </c>
      <c r="C77" s="11" t="s">
        <v>490</v>
      </c>
      <c r="D77" s="12">
        <v>1002052</v>
      </c>
      <c r="E77" s="12">
        <v>2</v>
      </c>
      <c r="F77" s="12"/>
      <c r="G77" s="12">
        <v>80</v>
      </c>
      <c r="H77" s="12" t="s">
        <v>51</v>
      </c>
      <c r="I77" s="12"/>
      <c r="J77" s="12" t="s">
        <v>52</v>
      </c>
      <c r="K77" s="12" t="b">
        <v>1</v>
      </c>
      <c r="L77" s="12">
        <v>3</v>
      </c>
      <c r="M77" s="8">
        <v>2017</v>
      </c>
      <c r="N77" s="9">
        <v>2073142.05</v>
      </c>
      <c r="O77" s="9">
        <v>2060950.81</v>
      </c>
      <c r="P77" s="9">
        <v>1980030.02</v>
      </c>
      <c r="Q77" s="9">
        <v>2099883.4300000002</v>
      </c>
      <c r="R77" s="13">
        <v>41717</v>
      </c>
      <c r="S77" s="13">
        <v>41717</v>
      </c>
    </row>
    <row r="78" spans="1:19">
      <c r="A78" s="10">
        <v>2014</v>
      </c>
      <c r="B78" s="11" t="s">
        <v>489</v>
      </c>
      <c r="C78" s="11" t="s">
        <v>490</v>
      </c>
      <c r="D78" s="12">
        <v>1002052</v>
      </c>
      <c r="E78" s="12">
        <v>2</v>
      </c>
      <c r="F78" s="12"/>
      <c r="G78" s="12">
        <v>768</v>
      </c>
      <c r="H78" s="12" t="s">
        <v>412</v>
      </c>
      <c r="I78" s="12"/>
      <c r="J78" s="12" t="s">
        <v>406</v>
      </c>
      <c r="K78" s="12" t="b">
        <v>1</v>
      </c>
      <c r="L78" s="12">
        <v>2</v>
      </c>
      <c r="M78" s="8">
        <v>2016</v>
      </c>
      <c r="N78" s="9">
        <v>0</v>
      </c>
      <c r="O78" s="9">
        <v>0</v>
      </c>
      <c r="P78" s="9">
        <v>0</v>
      </c>
      <c r="Q78" s="9">
        <v>0</v>
      </c>
      <c r="R78" s="13">
        <v>41717</v>
      </c>
      <c r="S78" s="13">
        <v>41717</v>
      </c>
    </row>
    <row r="79" spans="1:19">
      <c r="A79" s="10">
        <v>2014</v>
      </c>
      <c r="B79" s="11" t="s">
        <v>489</v>
      </c>
      <c r="C79" s="11" t="s">
        <v>490</v>
      </c>
      <c r="D79" s="12">
        <v>1002052</v>
      </c>
      <c r="E79" s="12">
        <v>2</v>
      </c>
      <c r="F79" s="12"/>
      <c r="G79" s="12">
        <v>767</v>
      </c>
      <c r="H79" s="12">
        <v>12.7</v>
      </c>
      <c r="I79" s="12"/>
      <c r="J79" s="12" t="s">
        <v>411</v>
      </c>
      <c r="K79" s="12" t="b">
        <v>1</v>
      </c>
      <c r="L79" s="12">
        <v>1</v>
      </c>
      <c r="M79" s="8">
        <v>2015</v>
      </c>
      <c r="N79" s="9">
        <v>0</v>
      </c>
      <c r="O79" s="9">
        <v>0</v>
      </c>
      <c r="P79" s="9">
        <v>0</v>
      </c>
      <c r="Q79" s="9">
        <v>0</v>
      </c>
      <c r="R79" s="13">
        <v>41717</v>
      </c>
      <c r="S79" s="13">
        <v>41717</v>
      </c>
    </row>
    <row r="80" spans="1:19">
      <c r="A80" s="10">
        <v>2014</v>
      </c>
      <c r="B80" s="11" t="s">
        <v>489</v>
      </c>
      <c r="C80" s="11" t="s">
        <v>490</v>
      </c>
      <c r="D80" s="12">
        <v>1002052</v>
      </c>
      <c r="E80" s="12">
        <v>2</v>
      </c>
      <c r="F80" s="12"/>
      <c r="G80" s="12">
        <v>870</v>
      </c>
      <c r="H80" s="12">
        <v>14</v>
      </c>
      <c r="I80" s="12"/>
      <c r="J80" s="12" t="s">
        <v>126</v>
      </c>
      <c r="K80" s="12" t="b">
        <v>1</v>
      </c>
      <c r="L80" s="12">
        <v>2</v>
      </c>
      <c r="M80" s="8">
        <v>2016</v>
      </c>
      <c r="N80" s="9">
        <v>0</v>
      </c>
      <c r="O80" s="9">
        <v>0</v>
      </c>
      <c r="P80" s="9">
        <v>0</v>
      </c>
      <c r="Q80" s="9">
        <v>0</v>
      </c>
      <c r="R80" s="13">
        <v>41717</v>
      </c>
      <c r="S80" s="13">
        <v>41717</v>
      </c>
    </row>
    <row r="81" spans="1:19">
      <c r="A81" s="10">
        <v>2014</v>
      </c>
      <c r="B81" s="11" t="s">
        <v>489</v>
      </c>
      <c r="C81" s="11" t="s">
        <v>490</v>
      </c>
      <c r="D81" s="12">
        <v>1002052</v>
      </c>
      <c r="E81" s="12">
        <v>2</v>
      </c>
      <c r="F81" s="12"/>
      <c r="G81" s="12">
        <v>620</v>
      </c>
      <c r="H81" s="12" t="s">
        <v>92</v>
      </c>
      <c r="I81" s="12"/>
      <c r="J81" s="12" t="s">
        <v>93</v>
      </c>
      <c r="K81" s="12" t="b">
        <v>1</v>
      </c>
      <c r="L81" s="12">
        <v>0</v>
      </c>
      <c r="M81" s="8">
        <v>2014</v>
      </c>
      <c r="N81" s="9">
        <v>1357691.17</v>
      </c>
      <c r="O81" s="9">
        <v>562105.4</v>
      </c>
      <c r="P81" s="9">
        <v>3401517</v>
      </c>
      <c r="Q81" s="9">
        <v>3180695.36</v>
      </c>
      <c r="R81" s="13">
        <v>41717</v>
      </c>
      <c r="S81" s="13">
        <v>41717</v>
      </c>
    </row>
    <row r="82" spans="1:19">
      <c r="A82" s="10">
        <v>2014</v>
      </c>
      <c r="B82" s="11" t="s">
        <v>489</v>
      </c>
      <c r="C82" s="11" t="s">
        <v>490</v>
      </c>
      <c r="D82" s="12">
        <v>1002052</v>
      </c>
      <c r="E82" s="12">
        <v>2</v>
      </c>
      <c r="F82" s="12"/>
      <c r="G82" s="12">
        <v>840</v>
      </c>
      <c r="H82" s="12">
        <v>13.5</v>
      </c>
      <c r="I82" s="12"/>
      <c r="J82" s="12" t="s">
        <v>123</v>
      </c>
      <c r="K82" s="12" t="b">
        <v>1</v>
      </c>
      <c r="L82" s="12">
        <v>1</v>
      </c>
      <c r="M82" s="8">
        <v>2015</v>
      </c>
      <c r="N82" s="9">
        <v>0</v>
      </c>
      <c r="O82" s="9">
        <v>0</v>
      </c>
      <c r="P82" s="9">
        <v>0</v>
      </c>
      <c r="Q82" s="9">
        <v>0</v>
      </c>
      <c r="R82" s="13">
        <v>41717</v>
      </c>
      <c r="S82" s="13">
        <v>41717</v>
      </c>
    </row>
    <row r="83" spans="1:19">
      <c r="A83" s="10">
        <v>2014</v>
      </c>
      <c r="B83" s="11" t="s">
        <v>489</v>
      </c>
      <c r="C83" s="11" t="s">
        <v>490</v>
      </c>
      <c r="D83" s="12">
        <v>1002052</v>
      </c>
      <c r="E83" s="12">
        <v>2</v>
      </c>
      <c r="F83" s="12"/>
      <c r="G83" s="12">
        <v>560</v>
      </c>
      <c r="H83" s="12">
        <v>10.1</v>
      </c>
      <c r="I83" s="12"/>
      <c r="J83" s="12" t="s">
        <v>86</v>
      </c>
      <c r="K83" s="12" t="b">
        <v>0</v>
      </c>
      <c r="L83" s="12">
        <v>2</v>
      </c>
      <c r="M83" s="8">
        <v>2016</v>
      </c>
      <c r="N83" s="9">
        <v>0</v>
      </c>
      <c r="O83" s="9">
        <v>0</v>
      </c>
      <c r="P83" s="9">
        <v>0</v>
      </c>
      <c r="Q83" s="9">
        <v>0</v>
      </c>
      <c r="R83" s="13">
        <v>41717</v>
      </c>
      <c r="S83" s="13">
        <v>41717</v>
      </c>
    </row>
    <row r="84" spans="1:19">
      <c r="A84" s="10">
        <v>2014</v>
      </c>
      <c r="B84" s="11" t="s">
        <v>489</v>
      </c>
      <c r="C84" s="11" t="s">
        <v>490</v>
      </c>
      <c r="D84" s="12">
        <v>1002052</v>
      </c>
      <c r="E84" s="12">
        <v>2</v>
      </c>
      <c r="F84" s="12"/>
      <c r="G84" s="12">
        <v>310</v>
      </c>
      <c r="H84" s="12">
        <v>5.0999999999999996</v>
      </c>
      <c r="I84" s="12"/>
      <c r="J84" s="12" t="s">
        <v>77</v>
      </c>
      <c r="K84" s="12" t="b">
        <v>1</v>
      </c>
      <c r="L84" s="12">
        <v>0</v>
      </c>
      <c r="M84" s="8">
        <v>2014</v>
      </c>
      <c r="N84" s="9">
        <v>601088.34</v>
      </c>
      <c r="O84" s="9">
        <v>1278520.75</v>
      </c>
      <c r="P84" s="9">
        <v>737521.46</v>
      </c>
      <c r="Q84" s="9">
        <v>737521.46</v>
      </c>
      <c r="R84" s="13">
        <v>41717</v>
      </c>
      <c r="S84" s="13">
        <v>41717</v>
      </c>
    </row>
    <row r="85" spans="1:19">
      <c r="A85" s="10">
        <v>2014</v>
      </c>
      <c r="B85" s="11" t="s">
        <v>489</v>
      </c>
      <c r="C85" s="11" t="s">
        <v>490</v>
      </c>
      <c r="D85" s="12">
        <v>1002052</v>
      </c>
      <c r="E85" s="12">
        <v>2</v>
      </c>
      <c r="F85" s="12"/>
      <c r="G85" s="12">
        <v>769</v>
      </c>
      <c r="H85" s="12">
        <v>12.8</v>
      </c>
      <c r="I85" s="12"/>
      <c r="J85" s="12" t="s">
        <v>414</v>
      </c>
      <c r="K85" s="12" t="b">
        <v>1</v>
      </c>
      <c r="L85" s="12">
        <v>3</v>
      </c>
      <c r="M85" s="8">
        <v>2017</v>
      </c>
      <c r="N85" s="9">
        <v>0</v>
      </c>
      <c r="O85" s="9">
        <v>0</v>
      </c>
      <c r="P85" s="9">
        <v>0</v>
      </c>
      <c r="Q85" s="9">
        <v>0</v>
      </c>
      <c r="R85" s="13">
        <v>41717</v>
      </c>
      <c r="S85" s="13">
        <v>41717</v>
      </c>
    </row>
    <row r="86" spans="1:19">
      <c r="A86" s="10">
        <v>2014</v>
      </c>
      <c r="B86" s="11" t="s">
        <v>489</v>
      </c>
      <c r="C86" s="11" t="s">
        <v>490</v>
      </c>
      <c r="D86" s="12">
        <v>1002052</v>
      </c>
      <c r="E86" s="12">
        <v>2</v>
      </c>
      <c r="F86" s="12"/>
      <c r="G86" s="12">
        <v>170</v>
      </c>
      <c r="H86" s="12" t="s">
        <v>63</v>
      </c>
      <c r="I86" s="12"/>
      <c r="J86" s="12" t="s">
        <v>366</v>
      </c>
      <c r="K86" s="12" t="b">
        <v>1</v>
      </c>
      <c r="L86" s="12">
        <v>3</v>
      </c>
      <c r="M86" s="8">
        <v>2017</v>
      </c>
      <c r="N86" s="9">
        <v>41411.769999999997</v>
      </c>
      <c r="O86" s="9">
        <v>84758.58</v>
      </c>
      <c r="P86" s="9">
        <v>95000</v>
      </c>
      <c r="Q86" s="9">
        <v>36975.83</v>
      </c>
      <c r="R86" s="13">
        <v>41717</v>
      </c>
      <c r="S86" s="13">
        <v>41717</v>
      </c>
    </row>
    <row r="87" spans="1:19">
      <c r="A87" s="10">
        <v>2014</v>
      </c>
      <c r="B87" s="11" t="s">
        <v>489</v>
      </c>
      <c r="C87" s="11" t="s">
        <v>490</v>
      </c>
      <c r="D87" s="12">
        <v>1002052</v>
      </c>
      <c r="E87" s="12">
        <v>2</v>
      </c>
      <c r="F87" s="12"/>
      <c r="G87" s="12">
        <v>150</v>
      </c>
      <c r="H87" s="12" t="s">
        <v>61</v>
      </c>
      <c r="I87" s="12"/>
      <c r="J87" s="12" t="s">
        <v>364</v>
      </c>
      <c r="K87" s="12" t="b">
        <v>1</v>
      </c>
      <c r="L87" s="12">
        <v>0</v>
      </c>
      <c r="M87" s="8">
        <v>2014</v>
      </c>
      <c r="N87" s="9">
        <v>0</v>
      </c>
      <c r="O87" s="9">
        <v>0</v>
      </c>
      <c r="P87" s="9">
        <v>0</v>
      </c>
      <c r="Q87" s="9">
        <v>0</v>
      </c>
      <c r="R87" s="13">
        <v>41717</v>
      </c>
      <c r="S87" s="13">
        <v>41717</v>
      </c>
    </row>
    <row r="88" spans="1:19">
      <c r="A88" s="10">
        <v>2014</v>
      </c>
      <c r="B88" s="11" t="s">
        <v>489</v>
      </c>
      <c r="C88" s="11" t="s">
        <v>490</v>
      </c>
      <c r="D88" s="12">
        <v>1002052</v>
      </c>
      <c r="E88" s="12">
        <v>2</v>
      </c>
      <c r="F88" s="12"/>
      <c r="G88" s="12">
        <v>764</v>
      </c>
      <c r="H88" s="12" t="s">
        <v>405</v>
      </c>
      <c r="I88" s="12"/>
      <c r="J88" s="12" t="s">
        <v>406</v>
      </c>
      <c r="K88" s="12" t="b">
        <v>1</v>
      </c>
      <c r="L88" s="12">
        <v>2</v>
      </c>
      <c r="M88" s="8">
        <v>2016</v>
      </c>
      <c r="N88" s="9">
        <v>0</v>
      </c>
      <c r="O88" s="9">
        <v>0</v>
      </c>
      <c r="P88" s="9">
        <v>0</v>
      </c>
      <c r="Q88" s="9">
        <v>0</v>
      </c>
      <c r="R88" s="13">
        <v>41717</v>
      </c>
      <c r="S88" s="13">
        <v>41717</v>
      </c>
    </row>
    <row r="89" spans="1:19">
      <c r="A89" s="10">
        <v>2014</v>
      </c>
      <c r="B89" s="11" t="s">
        <v>489</v>
      </c>
      <c r="C89" s="11" t="s">
        <v>490</v>
      </c>
      <c r="D89" s="12">
        <v>1002052</v>
      </c>
      <c r="E89" s="12">
        <v>2</v>
      </c>
      <c r="F89" s="12"/>
      <c r="G89" s="12">
        <v>140</v>
      </c>
      <c r="H89" s="12" t="s">
        <v>59</v>
      </c>
      <c r="I89" s="12"/>
      <c r="J89" s="12" t="s">
        <v>60</v>
      </c>
      <c r="K89" s="12" t="b">
        <v>1</v>
      </c>
      <c r="L89" s="12">
        <v>3</v>
      </c>
      <c r="M89" s="8">
        <v>2017</v>
      </c>
      <c r="N89" s="9">
        <v>0</v>
      </c>
      <c r="O89" s="9">
        <v>0</v>
      </c>
      <c r="P89" s="9">
        <v>0</v>
      </c>
      <c r="Q89" s="9">
        <v>0</v>
      </c>
      <c r="R89" s="13">
        <v>41717</v>
      </c>
      <c r="S89" s="13">
        <v>41717</v>
      </c>
    </row>
    <row r="90" spans="1:19">
      <c r="A90" s="10">
        <v>2014</v>
      </c>
      <c r="B90" s="11" t="s">
        <v>489</v>
      </c>
      <c r="C90" s="11" t="s">
        <v>490</v>
      </c>
      <c r="D90" s="12">
        <v>1002052</v>
      </c>
      <c r="E90" s="12">
        <v>2</v>
      </c>
      <c r="F90" s="12"/>
      <c r="G90" s="12">
        <v>300</v>
      </c>
      <c r="H90" s="12">
        <v>5</v>
      </c>
      <c r="I90" s="12" t="s">
        <v>374</v>
      </c>
      <c r="J90" s="12" t="s">
        <v>76</v>
      </c>
      <c r="K90" s="12" t="b">
        <v>0</v>
      </c>
      <c r="L90" s="12">
        <v>1</v>
      </c>
      <c r="M90" s="8">
        <v>2015</v>
      </c>
      <c r="N90" s="9">
        <v>601088.34</v>
      </c>
      <c r="O90" s="9">
        <v>1303202.75</v>
      </c>
      <c r="P90" s="9">
        <v>737521.46</v>
      </c>
      <c r="Q90" s="9">
        <v>737521.46</v>
      </c>
      <c r="R90" s="13">
        <v>41717</v>
      </c>
      <c r="S90" s="13">
        <v>41717</v>
      </c>
    </row>
    <row r="91" spans="1:19">
      <c r="A91" s="10">
        <v>2014</v>
      </c>
      <c r="B91" s="11" t="s">
        <v>489</v>
      </c>
      <c r="C91" s="11" t="s">
        <v>490</v>
      </c>
      <c r="D91" s="12">
        <v>1002052</v>
      </c>
      <c r="E91" s="12">
        <v>2</v>
      </c>
      <c r="F91" s="12"/>
      <c r="G91" s="12">
        <v>690</v>
      </c>
      <c r="H91" s="12" t="s">
        <v>101</v>
      </c>
      <c r="I91" s="12"/>
      <c r="J91" s="12" t="s">
        <v>102</v>
      </c>
      <c r="K91" s="12" t="b">
        <v>1</v>
      </c>
      <c r="L91" s="12">
        <v>1</v>
      </c>
      <c r="M91" s="8">
        <v>2015</v>
      </c>
      <c r="N91" s="9">
        <v>0</v>
      </c>
      <c r="O91" s="9">
        <v>0</v>
      </c>
      <c r="P91" s="9">
        <v>96205.25</v>
      </c>
      <c r="Q91" s="9">
        <v>93191.67</v>
      </c>
      <c r="R91" s="13">
        <v>41717</v>
      </c>
      <c r="S91" s="13">
        <v>41717</v>
      </c>
    </row>
    <row r="92" spans="1:19">
      <c r="A92" s="10">
        <v>2014</v>
      </c>
      <c r="B92" s="11" t="s">
        <v>489</v>
      </c>
      <c r="C92" s="11" t="s">
        <v>490</v>
      </c>
      <c r="D92" s="12">
        <v>1002052</v>
      </c>
      <c r="E92" s="12">
        <v>2</v>
      </c>
      <c r="F92" s="12"/>
      <c r="G92" s="12">
        <v>800</v>
      </c>
      <c r="H92" s="12">
        <v>13.1</v>
      </c>
      <c r="I92" s="12"/>
      <c r="J92" s="12" t="s">
        <v>119</v>
      </c>
      <c r="K92" s="12" t="b">
        <v>1</v>
      </c>
      <c r="L92" s="12">
        <v>0</v>
      </c>
      <c r="M92" s="8">
        <v>2014</v>
      </c>
      <c r="N92" s="9">
        <v>0</v>
      </c>
      <c r="O92" s="9">
        <v>0</v>
      </c>
      <c r="P92" s="9">
        <v>0</v>
      </c>
      <c r="Q92" s="9">
        <v>0</v>
      </c>
      <c r="R92" s="13">
        <v>41717</v>
      </c>
      <c r="S92" s="13">
        <v>41717</v>
      </c>
    </row>
    <row r="93" spans="1:19">
      <c r="A93" s="10">
        <v>2014</v>
      </c>
      <c r="B93" s="11" t="s">
        <v>489</v>
      </c>
      <c r="C93" s="11" t="s">
        <v>490</v>
      </c>
      <c r="D93" s="12">
        <v>1002052</v>
      </c>
      <c r="E93" s="12">
        <v>2</v>
      </c>
      <c r="F93" s="12"/>
      <c r="G93" s="12">
        <v>220</v>
      </c>
      <c r="H93" s="12">
        <v>4.0999999999999996</v>
      </c>
      <c r="I93" s="12"/>
      <c r="J93" s="12" t="s">
        <v>66</v>
      </c>
      <c r="K93" s="12" t="b">
        <v>0</v>
      </c>
      <c r="L93" s="12">
        <v>1</v>
      </c>
      <c r="M93" s="8">
        <v>2015</v>
      </c>
      <c r="N93" s="9">
        <v>0</v>
      </c>
      <c r="O93" s="9">
        <v>0</v>
      </c>
      <c r="P93" s="9">
        <v>314668.09000000003</v>
      </c>
      <c r="Q93" s="9">
        <v>959945.09</v>
      </c>
      <c r="R93" s="13">
        <v>41717</v>
      </c>
      <c r="S93" s="13">
        <v>41717</v>
      </c>
    </row>
    <row r="94" spans="1:19">
      <c r="A94" s="10">
        <v>2014</v>
      </c>
      <c r="B94" s="11" t="s">
        <v>489</v>
      </c>
      <c r="C94" s="11" t="s">
        <v>490</v>
      </c>
      <c r="D94" s="12">
        <v>1002052</v>
      </c>
      <c r="E94" s="12">
        <v>2</v>
      </c>
      <c r="F94" s="12"/>
      <c r="G94" s="12">
        <v>20</v>
      </c>
      <c r="H94" s="12">
        <v>1.1000000000000001</v>
      </c>
      <c r="I94" s="12"/>
      <c r="J94" s="12" t="s">
        <v>40</v>
      </c>
      <c r="K94" s="12" t="b">
        <v>1</v>
      </c>
      <c r="L94" s="12">
        <v>3</v>
      </c>
      <c r="M94" s="8">
        <v>2017</v>
      </c>
      <c r="N94" s="9">
        <v>10187163.27</v>
      </c>
      <c r="O94" s="9">
        <v>12660364.539999999</v>
      </c>
      <c r="P94" s="9">
        <v>12464064.42</v>
      </c>
      <c r="Q94" s="9">
        <v>11968299.93</v>
      </c>
      <c r="R94" s="13">
        <v>41717</v>
      </c>
      <c r="S94" s="13">
        <v>41717</v>
      </c>
    </row>
    <row r="95" spans="1:19">
      <c r="A95" s="10">
        <v>2014</v>
      </c>
      <c r="B95" s="11" t="s">
        <v>489</v>
      </c>
      <c r="C95" s="11" t="s">
        <v>490</v>
      </c>
      <c r="D95" s="12">
        <v>1002052</v>
      </c>
      <c r="E95" s="12">
        <v>2</v>
      </c>
      <c r="F95" s="12"/>
      <c r="G95" s="12">
        <v>660</v>
      </c>
      <c r="H95" s="12">
        <v>12</v>
      </c>
      <c r="I95" s="12"/>
      <c r="J95" s="12" t="s">
        <v>97</v>
      </c>
      <c r="K95" s="12" t="b">
        <v>1</v>
      </c>
      <c r="L95" s="12">
        <v>1</v>
      </c>
      <c r="M95" s="8">
        <v>2015</v>
      </c>
      <c r="N95" s="9">
        <v>0</v>
      </c>
      <c r="O95" s="9">
        <v>0</v>
      </c>
      <c r="P95" s="9">
        <v>0</v>
      </c>
      <c r="Q95" s="9">
        <v>0</v>
      </c>
      <c r="R95" s="13">
        <v>41717</v>
      </c>
      <c r="S95" s="13">
        <v>41717</v>
      </c>
    </row>
    <row r="96" spans="1:19">
      <c r="A96" s="10">
        <v>2014</v>
      </c>
      <c r="B96" s="11" t="s">
        <v>489</v>
      </c>
      <c r="C96" s="11" t="s">
        <v>490</v>
      </c>
      <c r="D96" s="12">
        <v>1002052</v>
      </c>
      <c r="E96" s="12">
        <v>2</v>
      </c>
      <c r="F96" s="12"/>
      <c r="G96" s="12">
        <v>640</v>
      </c>
      <c r="H96" s="12">
        <v>11.5</v>
      </c>
      <c r="I96" s="12"/>
      <c r="J96" s="12" t="s">
        <v>95</v>
      </c>
      <c r="K96" s="12" t="b">
        <v>1</v>
      </c>
      <c r="L96" s="12">
        <v>3</v>
      </c>
      <c r="M96" s="8">
        <v>2017</v>
      </c>
      <c r="N96" s="9">
        <v>2450536</v>
      </c>
      <c r="O96" s="9">
        <v>1590835.04</v>
      </c>
      <c r="P96" s="9">
        <v>1184859</v>
      </c>
      <c r="Q96" s="9">
        <v>1184793.3400000001</v>
      </c>
      <c r="R96" s="13">
        <v>41717</v>
      </c>
      <c r="S96" s="13">
        <v>41717</v>
      </c>
    </row>
    <row r="97" spans="1:19">
      <c r="A97" s="10">
        <v>2014</v>
      </c>
      <c r="B97" s="11" t="s">
        <v>489</v>
      </c>
      <c r="C97" s="11" t="s">
        <v>490</v>
      </c>
      <c r="D97" s="12">
        <v>1002052</v>
      </c>
      <c r="E97" s="12">
        <v>2</v>
      </c>
      <c r="F97" s="12"/>
      <c r="G97" s="12">
        <v>90</v>
      </c>
      <c r="H97" s="12">
        <v>1.2</v>
      </c>
      <c r="I97" s="12"/>
      <c r="J97" s="12" t="s">
        <v>53</v>
      </c>
      <c r="K97" s="12" t="b">
        <v>1</v>
      </c>
      <c r="L97" s="12">
        <v>3</v>
      </c>
      <c r="M97" s="8">
        <v>2017</v>
      </c>
      <c r="N97" s="9">
        <v>1548530.29</v>
      </c>
      <c r="O97" s="9">
        <v>1401663.61</v>
      </c>
      <c r="P97" s="9">
        <v>1007330</v>
      </c>
      <c r="Q97" s="9">
        <v>739980.67</v>
      </c>
      <c r="R97" s="13">
        <v>41717</v>
      </c>
      <c r="S97" s="13">
        <v>41717</v>
      </c>
    </row>
    <row r="98" spans="1:19">
      <c r="A98" s="10">
        <v>2014</v>
      </c>
      <c r="B98" s="11" t="s">
        <v>489</v>
      </c>
      <c r="C98" s="11" t="s">
        <v>490</v>
      </c>
      <c r="D98" s="12">
        <v>1002052</v>
      </c>
      <c r="E98" s="12">
        <v>2</v>
      </c>
      <c r="F98" s="12"/>
      <c r="G98" s="12">
        <v>320</v>
      </c>
      <c r="H98" s="12" t="s">
        <v>78</v>
      </c>
      <c r="I98" s="12" t="s">
        <v>375</v>
      </c>
      <c r="J98" s="12" t="s">
        <v>376</v>
      </c>
      <c r="K98" s="12" t="b">
        <v>1</v>
      </c>
      <c r="L98" s="12">
        <v>0</v>
      </c>
      <c r="M98" s="8">
        <v>2014</v>
      </c>
      <c r="N98" s="9">
        <v>552822</v>
      </c>
      <c r="O98" s="9">
        <v>595645.15</v>
      </c>
      <c r="P98" s="9">
        <v>0</v>
      </c>
      <c r="Q98" s="9">
        <v>0</v>
      </c>
      <c r="R98" s="13">
        <v>41717</v>
      </c>
      <c r="S98" s="13">
        <v>41717</v>
      </c>
    </row>
    <row r="99" spans="1:19">
      <c r="A99" s="10">
        <v>2014</v>
      </c>
      <c r="B99" s="11" t="s">
        <v>489</v>
      </c>
      <c r="C99" s="11" t="s">
        <v>490</v>
      </c>
      <c r="D99" s="12">
        <v>1002052</v>
      </c>
      <c r="E99" s="12">
        <v>2</v>
      </c>
      <c r="F99" s="12"/>
      <c r="G99" s="12">
        <v>760</v>
      </c>
      <c r="H99" s="12">
        <v>12.4</v>
      </c>
      <c r="I99" s="12"/>
      <c r="J99" s="12" t="s">
        <v>113</v>
      </c>
      <c r="K99" s="12" t="b">
        <v>1</v>
      </c>
      <c r="L99" s="12">
        <v>2</v>
      </c>
      <c r="M99" s="8">
        <v>2016</v>
      </c>
      <c r="N99" s="9">
        <v>650923.96</v>
      </c>
      <c r="O99" s="9">
        <v>562105.4</v>
      </c>
      <c r="P99" s="9">
        <v>3401517</v>
      </c>
      <c r="Q99" s="9">
        <v>3180695.36</v>
      </c>
      <c r="R99" s="13">
        <v>41717</v>
      </c>
      <c r="S99" s="13">
        <v>41717</v>
      </c>
    </row>
    <row r="100" spans="1:19">
      <c r="A100" s="10">
        <v>2014</v>
      </c>
      <c r="B100" s="11" t="s">
        <v>489</v>
      </c>
      <c r="C100" s="11" t="s">
        <v>490</v>
      </c>
      <c r="D100" s="12">
        <v>1002052</v>
      </c>
      <c r="E100" s="12">
        <v>2</v>
      </c>
      <c r="F100" s="12"/>
      <c r="G100" s="12">
        <v>670</v>
      </c>
      <c r="H100" s="12">
        <v>12.1</v>
      </c>
      <c r="I100" s="12"/>
      <c r="J100" s="12" t="s">
        <v>98</v>
      </c>
      <c r="K100" s="12" t="b">
        <v>1</v>
      </c>
      <c r="L100" s="12">
        <v>2</v>
      </c>
      <c r="M100" s="8">
        <v>2016</v>
      </c>
      <c r="N100" s="9">
        <v>104205.75</v>
      </c>
      <c r="O100" s="9">
        <v>179911.06</v>
      </c>
      <c r="P100" s="9">
        <v>109888.97</v>
      </c>
      <c r="Q100" s="9">
        <v>105623.85</v>
      </c>
      <c r="R100" s="13">
        <v>41717</v>
      </c>
      <c r="S100" s="13">
        <v>41717</v>
      </c>
    </row>
    <row r="101" spans="1:19">
      <c r="A101" s="10">
        <v>2014</v>
      </c>
      <c r="B101" s="11" t="s">
        <v>489</v>
      </c>
      <c r="C101" s="11" t="s">
        <v>490</v>
      </c>
      <c r="D101" s="12">
        <v>1002052</v>
      </c>
      <c r="E101" s="12">
        <v>2</v>
      </c>
      <c r="F101" s="12"/>
      <c r="G101" s="12">
        <v>336</v>
      </c>
      <c r="H101" s="12" t="s">
        <v>380</v>
      </c>
      <c r="I101" s="12"/>
      <c r="J101" s="12" t="s">
        <v>381</v>
      </c>
      <c r="K101" s="12" t="b">
        <v>1</v>
      </c>
      <c r="L101" s="12">
        <v>3</v>
      </c>
      <c r="M101" s="8">
        <v>2017</v>
      </c>
      <c r="N101" s="9">
        <v>0</v>
      </c>
      <c r="O101" s="9">
        <v>0</v>
      </c>
      <c r="P101" s="9">
        <v>0</v>
      </c>
      <c r="Q101" s="9">
        <v>0</v>
      </c>
      <c r="R101" s="13">
        <v>41717</v>
      </c>
      <c r="S101" s="13">
        <v>41717</v>
      </c>
    </row>
    <row r="102" spans="1:19">
      <c r="A102" s="10">
        <v>2014</v>
      </c>
      <c r="B102" s="11" t="s">
        <v>489</v>
      </c>
      <c r="C102" s="11" t="s">
        <v>490</v>
      </c>
      <c r="D102" s="12">
        <v>1002052</v>
      </c>
      <c r="E102" s="12">
        <v>2</v>
      </c>
      <c r="F102" s="12"/>
      <c r="G102" s="12">
        <v>250</v>
      </c>
      <c r="H102" s="12" t="s">
        <v>70</v>
      </c>
      <c r="I102" s="12"/>
      <c r="J102" s="12" t="s">
        <v>71</v>
      </c>
      <c r="K102" s="12" t="b">
        <v>0</v>
      </c>
      <c r="L102" s="12">
        <v>2</v>
      </c>
      <c r="M102" s="8">
        <v>2016</v>
      </c>
      <c r="N102" s="9">
        <v>0</v>
      </c>
      <c r="O102" s="9">
        <v>0</v>
      </c>
      <c r="P102" s="9">
        <v>1024306.28</v>
      </c>
      <c r="Q102" s="9">
        <v>733144.51</v>
      </c>
      <c r="R102" s="13">
        <v>41717</v>
      </c>
      <c r="S102" s="13">
        <v>41717</v>
      </c>
    </row>
    <row r="103" spans="1:19">
      <c r="A103" s="10">
        <v>2014</v>
      </c>
      <c r="B103" s="11" t="s">
        <v>489</v>
      </c>
      <c r="C103" s="11" t="s">
        <v>490</v>
      </c>
      <c r="D103" s="12">
        <v>1002052</v>
      </c>
      <c r="E103" s="12">
        <v>2</v>
      </c>
      <c r="F103" s="12"/>
      <c r="G103" s="12">
        <v>150</v>
      </c>
      <c r="H103" s="12" t="s">
        <v>61</v>
      </c>
      <c r="I103" s="12"/>
      <c r="J103" s="12" t="s">
        <v>364</v>
      </c>
      <c r="K103" s="12" t="b">
        <v>1</v>
      </c>
      <c r="L103" s="12">
        <v>1</v>
      </c>
      <c r="M103" s="8">
        <v>2015</v>
      </c>
      <c r="N103" s="9">
        <v>0</v>
      </c>
      <c r="O103" s="9">
        <v>0</v>
      </c>
      <c r="P103" s="9">
        <v>0</v>
      </c>
      <c r="Q103" s="9">
        <v>0</v>
      </c>
      <c r="R103" s="13">
        <v>41717</v>
      </c>
      <c r="S103" s="13">
        <v>41717</v>
      </c>
    </row>
    <row r="104" spans="1:19">
      <c r="A104" s="10">
        <v>2014</v>
      </c>
      <c r="B104" s="11" t="s">
        <v>489</v>
      </c>
      <c r="C104" s="11" t="s">
        <v>490</v>
      </c>
      <c r="D104" s="12">
        <v>1002052</v>
      </c>
      <c r="E104" s="12">
        <v>2</v>
      </c>
      <c r="F104" s="12"/>
      <c r="G104" s="12">
        <v>750</v>
      </c>
      <c r="H104" s="12" t="s">
        <v>111</v>
      </c>
      <c r="I104" s="12"/>
      <c r="J104" s="12" t="s">
        <v>112</v>
      </c>
      <c r="K104" s="12" t="b">
        <v>0</v>
      </c>
      <c r="L104" s="12">
        <v>0</v>
      </c>
      <c r="M104" s="8">
        <v>2014</v>
      </c>
      <c r="N104" s="9">
        <v>0</v>
      </c>
      <c r="O104" s="9">
        <v>0</v>
      </c>
      <c r="P104" s="9">
        <v>145119.65</v>
      </c>
      <c r="Q104" s="9">
        <v>138833.24</v>
      </c>
      <c r="R104" s="13">
        <v>41717</v>
      </c>
      <c r="S104" s="13">
        <v>41717</v>
      </c>
    </row>
    <row r="105" spans="1:19">
      <c r="A105" s="10">
        <v>2014</v>
      </c>
      <c r="B105" s="11" t="s">
        <v>489</v>
      </c>
      <c r="C105" s="11" t="s">
        <v>490</v>
      </c>
      <c r="D105" s="12">
        <v>1002052</v>
      </c>
      <c r="E105" s="12">
        <v>2</v>
      </c>
      <c r="F105" s="12"/>
      <c r="G105" s="12">
        <v>410</v>
      </c>
      <c r="H105" s="12">
        <v>8</v>
      </c>
      <c r="I105" s="12"/>
      <c r="J105" s="12" t="s">
        <v>146</v>
      </c>
      <c r="K105" s="12" t="b">
        <v>1</v>
      </c>
      <c r="L105" s="12">
        <v>1</v>
      </c>
      <c r="M105" s="8">
        <v>2015</v>
      </c>
      <c r="N105" s="9">
        <v>0</v>
      </c>
      <c r="O105" s="9">
        <v>0</v>
      </c>
      <c r="P105" s="9">
        <v>0</v>
      </c>
      <c r="Q105" s="9">
        <v>0</v>
      </c>
      <c r="R105" s="13">
        <v>41717</v>
      </c>
      <c r="S105" s="13">
        <v>41717</v>
      </c>
    </row>
    <row r="106" spans="1:19">
      <c r="A106" s="10">
        <v>2014</v>
      </c>
      <c r="B106" s="11" t="s">
        <v>489</v>
      </c>
      <c r="C106" s="11" t="s">
        <v>490</v>
      </c>
      <c r="D106" s="12">
        <v>1002052</v>
      </c>
      <c r="E106" s="12">
        <v>2</v>
      </c>
      <c r="F106" s="12"/>
      <c r="G106" s="12">
        <v>520</v>
      </c>
      <c r="H106" s="12" t="s">
        <v>83</v>
      </c>
      <c r="I106" s="12"/>
      <c r="J106" s="12" t="s">
        <v>396</v>
      </c>
      <c r="K106" s="12" t="b">
        <v>1</v>
      </c>
      <c r="L106" s="12">
        <v>3</v>
      </c>
      <c r="M106" s="8">
        <v>2017</v>
      </c>
      <c r="N106" s="9">
        <v>0</v>
      </c>
      <c r="O106" s="9">
        <v>0</v>
      </c>
      <c r="P106" s="9">
        <v>0</v>
      </c>
      <c r="Q106" s="9">
        <v>0</v>
      </c>
      <c r="R106" s="13">
        <v>41717</v>
      </c>
      <c r="S106" s="13">
        <v>41717</v>
      </c>
    </row>
    <row r="107" spans="1:19">
      <c r="A107" s="10">
        <v>2014</v>
      </c>
      <c r="B107" s="11" t="s">
        <v>489</v>
      </c>
      <c r="C107" s="11" t="s">
        <v>490</v>
      </c>
      <c r="D107" s="12">
        <v>1002052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414</v>
      </c>
      <c r="K107" s="12" t="b">
        <v>1</v>
      </c>
      <c r="L107" s="12">
        <v>0</v>
      </c>
      <c r="M107" s="8">
        <v>2014</v>
      </c>
      <c r="N107" s="9">
        <v>0</v>
      </c>
      <c r="O107" s="9">
        <v>0</v>
      </c>
      <c r="P107" s="9">
        <v>0</v>
      </c>
      <c r="Q107" s="9">
        <v>0</v>
      </c>
      <c r="R107" s="13">
        <v>41717</v>
      </c>
      <c r="S107" s="13">
        <v>41717</v>
      </c>
    </row>
    <row r="108" spans="1:19">
      <c r="A108" s="10">
        <v>2014</v>
      </c>
      <c r="B108" s="11" t="s">
        <v>489</v>
      </c>
      <c r="C108" s="11" t="s">
        <v>490</v>
      </c>
      <c r="D108" s="12">
        <v>1002052</v>
      </c>
      <c r="E108" s="12">
        <v>2</v>
      </c>
      <c r="F108" s="12"/>
      <c r="G108" s="12">
        <v>870</v>
      </c>
      <c r="H108" s="12">
        <v>14</v>
      </c>
      <c r="I108" s="12"/>
      <c r="J108" s="12" t="s">
        <v>126</v>
      </c>
      <c r="K108" s="12" t="b">
        <v>1</v>
      </c>
      <c r="L108" s="12">
        <v>1</v>
      </c>
      <c r="M108" s="8">
        <v>2015</v>
      </c>
      <c r="N108" s="9">
        <v>0</v>
      </c>
      <c r="O108" s="9">
        <v>0</v>
      </c>
      <c r="P108" s="9">
        <v>0</v>
      </c>
      <c r="Q108" s="9">
        <v>0</v>
      </c>
      <c r="R108" s="13">
        <v>41717</v>
      </c>
      <c r="S108" s="13">
        <v>41717</v>
      </c>
    </row>
    <row r="109" spans="1:19">
      <c r="A109" s="10">
        <v>2014</v>
      </c>
      <c r="B109" s="11" t="s">
        <v>489</v>
      </c>
      <c r="C109" s="11" t="s">
        <v>490</v>
      </c>
      <c r="D109" s="12">
        <v>1002052</v>
      </c>
      <c r="E109" s="12">
        <v>2</v>
      </c>
      <c r="F109" s="12"/>
      <c r="G109" s="12">
        <v>60</v>
      </c>
      <c r="H109" s="12" t="s">
        <v>47</v>
      </c>
      <c r="I109" s="12"/>
      <c r="J109" s="12" t="s">
        <v>48</v>
      </c>
      <c r="K109" s="12" t="b">
        <v>1</v>
      </c>
      <c r="L109" s="12">
        <v>2</v>
      </c>
      <c r="M109" s="8">
        <v>2016</v>
      </c>
      <c r="N109" s="9">
        <v>849319.19</v>
      </c>
      <c r="O109" s="9">
        <v>1608877.11</v>
      </c>
      <c r="P109" s="9">
        <v>1644617.4</v>
      </c>
      <c r="Q109" s="9">
        <v>1467888.16</v>
      </c>
      <c r="R109" s="13">
        <v>41717</v>
      </c>
      <c r="S109" s="13">
        <v>41717</v>
      </c>
    </row>
    <row r="110" spans="1:19">
      <c r="A110" s="10">
        <v>2014</v>
      </c>
      <c r="B110" s="11" t="s">
        <v>489</v>
      </c>
      <c r="C110" s="11" t="s">
        <v>490</v>
      </c>
      <c r="D110" s="12">
        <v>1002052</v>
      </c>
      <c r="E110" s="12">
        <v>2</v>
      </c>
      <c r="F110" s="12"/>
      <c r="G110" s="12">
        <v>70</v>
      </c>
      <c r="H110" s="12" t="s">
        <v>49</v>
      </c>
      <c r="I110" s="12"/>
      <c r="J110" s="12" t="s">
        <v>50</v>
      </c>
      <c r="K110" s="12" t="b">
        <v>1</v>
      </c>
      <c r="L110" s="12">
        <v>2</v>
      </c>
      <c r="M110" s="8">
        <v>2016</v>
      </c>
      <c r="N110" s="9">
        <v>4037554</v>
      </c>
      <c r="O110" s="9">
        <v>4481337</v>
      </c>
      <c r="P110" s="9">
        <v>4504728</v>
      </c>
      <c r="Q110" s="9">
        <v>4504728</v>
      </c>
      <c r="R110" s="13">
        <v>41717</v>
      </c>
      <c r="S110" s="13">
        <v>41717</v>
      </c>
    </row>
    <row r="111" spans="1:19">
      <c r="A111" s="10">
        <v>2014</v>
      </c>
      <c r="B111" s="11" t="s">
        <v>489</v>
      </c>
      <c r="C111" s="11" t="s">
        <v>490</v>
      </c>
      <c r="D111" s="12">
        <v>1002052</v>
      </c>
      <c r="E111" s="12">
        <v>2</v>
      </c>
      <c r="F111" s="12"/>
      <c r="G111" s="12">
        <v>910</v>
      </c>
      <c r="H111" s="12" t="s">
        <v>130</v>
      </c>
      <c r="I111" s="12"/>
      <c r="J111" s="12" t="s">
        <v>131</v>
      </c>
      <c r="K111" s="12" t="b">
        <v>1</v>
      </c>
      <c r="L111" s="12">
        <v>2</v>
      </c>
      <c r="M111" s="8">
        <v>2016</v>
      </c>
      <c r="N111" s="9">
        <v>0</v>
      </c>
      <c r="O111" s="9">
        <v>0</v>
      </c>
      <c r="P111" s="9">
        <v>0</v>
      </c>
      <c r="Q111" s="9">
        <v>0</v>
      </c>
      <c r="R111" s="13">
        <v>41717</v>
      </c>
      <c r="S111" s="13">
        <v>41717</v>
      </c>
    </row>
    <row r="112" spans="1:19">
      <c r="A112" s="10">
        <v>2014</v>
      </c>
      <c r="B112" s="11" t="s">
        <v>489</v>
      </c>
      <c r="C112" s="11" t="s">
        <v>490</v>
      </c>
      <c r="D112" s="12">
        <v>1002052</v>
      </c>
      <c r="E112" s="12">
        <v>2</v>
      </c>
      <c r="F112" s="12"/>
      <c r="G112" s="12">
        <v>90</v>
      </c>
      <c r="H112" s="12">
        <v>1.2</v>
      </c>
      <c r="I112" s="12"/>
      <c r="J112" s="12" t="s">
        <v>53</v>
      </c>
      <c r="K112" s="12" t="b">
        <v>1</v>
      </c>
      <c r="L112" s="12">
        <v>2</v>
      </c>
      <c r="M112" s="8">
        <v>2016</v>
      </c>
      <c r="N112" s="9">
        <v>1548530.29</v>
      </c>
      <c r="O112" s="9">
        <v>1401663.61</v>
      </c>
      <c r="P112" s="9">
        <v>1007330</v>
      </c>
      <c r="Q112" s="9">
        <v>739980.67</v>
      </c>
      <c r="R112" s="13">
        <v>41717</v>
      </c>
      <c r="S112" s="13">
        <v>41717</v>
      </c>
    </row>
    <row r="113" spans="1:19">
      <c r="A113" s="10">
        <v>2014</v>
      </c>
      <c r="B113" s="11" t="s">
        <v>489</v>
      </c>
      <c r="C113" s="11" t="s">
        <v>490</v>
      </c>
      <c r="D113" s="12">
        <v>1002052</v>
      </c>
      <c r="E113" s="12">
        <v>2</v>
      </c>
      <c r="F113" s="12"/>
      <c r="G113" s="12">
        <v>610</v>
      </c>
      <c r="H113" s="12" t="s">
        <v>90</v>
      </c>
      <c r="I113" s="12"/>
      <c r="J113" s="12" t="s">
        <v>91</v>
      </c>
      <c r="K113" s="12" t="b">
        <v>1</v>
      </c>
      <c r="L113" s="12">
        <v>0</v>
      </c>
      <c r="M113" s="8">
        <v>2014</v>
      </c>
      <c r="N113" s="9">
        <v>123162.52</v>
      </c>
      <c r="O113" s="9">
        <v>156869.10999999999</v>
      </c>
      <c r="P113" s="9">
        <v>145119.65</v>
      </c>
      <c r="Q113" s="9">
        <v>138833.24</v>
      </c>
      <c r="R113" s="13">
        <v>41717</v>
      </c>
      <c r="S113" s="13">
        <v>41717</v>
      </c>
    </row>
    <row r="114" spans="1:19">
      <c r="A114" s="10">
        <v>2014</v>
      </c>
      <c r="B114" s="11" t="s">
        <v>489</v>
      </c>
      <c r="C114" s="11" t="s">
        <v>490</v>
      </c>
      <c r="D114" s="12">
        <v>1002052</v>
      </c>
      <c r="E114" s="12">
        <v>2</v>
      </c>
      <c r="F114" s="12"/>
      <c r="G114" s="12">
        <v>190</v>
      </c>
      <c r="H114" s="12">
        <v>2.2000000000000002</v>
      </c>
      <c r="I114" s="12"/>
      <c r="J114" s="12" t="s">
        <v>65</v>
      </c>
      <c r="K114" s="12" t="b">
        <v>0</v>
      </c>
      <c r="L114" s="12">
        <v>2</v>
      </c>
      <c r="M114" s="8">
        <v>2016</v>
      </c>
      <c r="N114" s="9">
        <v>3624050.32</v>
      </c>
      <c r="O114" s="9">
        <v>2425876</v>
      </c>
      <c r="P114" s="9">
        <v>4625376</v>
      </c>
      <c r="Q114" s="9">
        <v>4393188.7</v>
      </c>
      <c r="R114" s="13">
        <v>41717</v>
      </c>
      <c r="S114" s="13">
        <v>41717</v>
      </c>
    </row>
    <row r="115" spans="1:19">
      <c r="A115" s="10">
        <v>2014</v>
      </c>
      <c r="B115" s="11" t="s">
        <v>489</v>
      </c>
      <c r="C115" s="11" t="s">
        <v>490</v>
      </c>
      <c r="D115" s="12">
        <v>1002052</v>
      </c>
      <c r="E115" s="12">
        <v>2</v>
      </c>
      <c r="F115" s="12"/>
      <c r="G115" s="12">
        <v>960</v>
      </c>
      <c r="H115" s="12">
        <v>15.1</v>
      </c>
      <c r="I115" s="12"/>
      <c r="J115" s="12" t="s">
        <v>419</v>
      </c>
      <c r="K115" s="12" t="b">
        <v>1</v>
      </c>
      <c r="L115" s="12">
        <v>1</v>
      </c>
      <c r="M115" s="8">
        <v>2015</v>
      </c>
      <c r="N115" s="9">
        <v>0</v>
      </c>
      <c r="O115" s="9">
        <v>0</v>
      </c>
      <c r="P115" s="9">
        <v>0</v>
      </c>
      <c r="Q115" s="9">
        <v>0</v>
      </c>
      <c r="R115" s="13">
        <v>41717</v>
      </c>
      <c r="S115" s="13">
        <v>41717</v>
      </c>
    </row>
    <row r="116" spans="1:19">
      <c r="A116" s="10">
        <v>2014</v>
      </c>
      <c r="B116" s="11" t="s">
        <v>489</v>
      </c>
      <c r="C116" s="11" t="s">
        <v>490</v>
      </c>
      <c r="D116" s="12">
        <v>1002052</v>
      </c>
      <c r="E116" s="12">
        <v>2</v>
      </c>
      <c r="F116" s="12"/>
      <c r="G116" s="12">
        <v>950</v>
      </c>
      <c r="H116" s="12">
        <v>15</v>
      </c>
      <c r="I116" s="12"/>
      <c r="J116" s="12" t="s">
        <v>417</v>
      </c>
      <c r="K116" s="12" t="b">
        <v>1</v>
      </c>
      <c r="L116" s="12">
        <v>3</v>
      </c>
      <c r="M116" s="8">
        <v>2017</v>
      </c>
      <c r="N116" s="9">
        <v>0</v>
      </c>
      <c r="O116" s="9">
        <v>0</v>
      </c>
      <c r="P116" s="9">
        <v>0</v>
      </c>
      <c r="Q116" s="9">
        <v>0</v>
      </c>
      <c r="R116" s="13">
        <v>41717</v>
      </c>
      <c r="S116" s="13">
        <v>41717</v>
      </c>
    </row>
    <row r="117" spans="1:19">
      <c r="A117" s="10">
        <v>2014</v>
      </c>
      <c r="B117" s="11" t="s">
        <v>489</v>
      </c>
      <c r="C117" s="11" t="s">
        <v>490</v>
      </c>
      <c r="D117" s="12">
        <v>1002052</v>
      </c>
      <c r="E117" s="12">
        <v>2</v>
      </c>
      <c r="F117" s="12"/>
      <c r="G117" s="12">
        <v>500</v>
      </c>
      <c r="H117" s="12">
        <v>9.4</v>
      </c>
      <c r="I117" s="12" t="s">
        <v>390</v>
      </c>
      <c r="J117" s="12" t="s">
        <v>391</v>
      </c>
      <c r="K117" s="12" t="b">
        <v>0</v>
      </c>
      <c r="L117" s="12">
        <v>0</v>
      </c>
      <c r="M117" s="8">
        <v>2014</v>
      </c>
      <c r="N117" s="9">
        <v>7.4000000000000003E-3</v>
      </c>
      <c r="O117" s="9">
        <v>5.45E-2</v>
      </c>
      <c r="P117" s="9">
        <v>6.1800000000000001E-2</v>
      </c>
      <c r="Q117" s="9">
        <v>6.0900000000000003E-2</v>
      </c>
      <c r="R117" s="13">
        <v>41717</v>
      </c>
      <c r="S117" s="13">
        <v>41717</v>
      </c>
    </row>
    <row r="118" spans="1:19">
      <c r="A118" s="10">
        <v>2014</v>
      </c>
      <c r="B118" s="11" t="s">
        <v>489</v>
      </c>
      <c r="C118" s="11" t="s">
        <v>490</v>
      </c>
      <c r="D118" s="12">
        <v>1002052</v>
      </c>
      <c r="E118" s="12">
        <v>2</v>
      </c>
      <c r="F118" s="12"/>
      <c r="G118" s="12">
        <v>720</v>
      </c>
      <c r="H118" s="12" t="s">
        <v>106</v>
      </c>
      <c r="I118" s="12"/>
      <c r="J118" s="12" t="s">
        <v>107</v>
      </c>
      <c r="K118" s="12" t="b">
        <v>0</v>
      </c>
      <c r="L118" s="12">
        <v>0</v>
      </c>
      <c r="M118" s="8">
        <v>2014</v>
      </c>
      <c r="N118" s="9">
        <v>0</v>
      </c>
      <c r="O118" s="9">
        <v>0</v>
      </c>
      <c r="P118" s="9">
        <v>232602</v>
      </c>
      <c r="Q118" s="9">
        <v>232601.81</v>
      </c>
      <c r="R118" s="13">
        <v>41717</v>
      </c>
      <c r="S118" s="13">
        <v>41717</v>
      </c>
    </row>
    <row r="119" spans="1:19">
      <c r="A119" s="10">
        <v>2014</v>
      </c>
      <c r="B119" s="11" t="s">
        <v>489</v>
      </c>
      <c r="C119" s="11" t="s">
        <v>490</v>
      </c>
      <c r="D119" s="12">
        <v>1002052</v>
      </c>
      <c r="E119" s="12">
        <v>2</v>
      </c>
      <c r="F119" s="12"/>
      <c r="G119" s="12">
        <v>670</v>
      </c>
      <c r="H119" s="12">
        <v>12.1</v>
      </c>
      <c r="I119" s="12"/>
      <c r="J119" s="12" t="s">
        <v>98</v>
      </c>
      <c r="K119" s="12" t="b">
        <v>1</v>
      </c>
      <c r="L119" s="12">
        <v>3</v>
      </c>
      <c r="M119" s="8">
        <v>2017</v>
      </c>
      <c r="N119" s="9">
        <v>104205.75</v>
      </c>
      <c r="O119" s="9">
        <v>179911.06</v>
      </c>
      <c r="P119" s="9">
        <v>109888.97</v>
      </c>
      <c r="Q119" s="9">
        <v>105623.85</v>
      </c>
      <c r="R119" s="13">
        <v>41717</v>
      </c>
      <c r="S119" s="13">
        <v>41717</v>
      </c>
    </row>
    <row r="120" spans="1:19">
      <c r="A120" s="10">
        <v>2014</v>
      </c>
      <c r="B120" s="11" t="s">
        <v>489</v>
      </c>
      <c r="C120" s="11" t="s">
        <v>490</v>
      </c>
      <c r="D120" s="12">
        <v>1002052</v>
      </c>
      <c r="E120" s="12">
        <v>2</v>
      </c>
      <c r="F120" s="12"/>
      <c r="G120" s="12">
        <v>540</v>
      </c>
      <c r="H120" s="12" t="s">
        <v>84</v>
      </c>
      <c r="I120" s="12" t="s">
        <v>399</v>
      </c>
      <c r="J120" s="12" t="s">
        <v>400</v>
      </c>
      <c r="K120" s="12" t="b">
        <v>0</v>
      </c>
      <c r="L120" s="12">
        <v>3</v>
      </c>
      <c r="M120" s="8">
        <v>2017</v>
      </c>
      <c r="N120" s="9">
        <v>7.4000000000000003E-3</v>
      </c>
      <c r="O120" s="9">
        <v>5.45E-2</v>
      </c>
      <c r="P120" s="9">
        <v>6.1800000000000001E-2</v>
      </c>
      <c r="Q120" s="9">
        <v>6.0900000000000003E-2</v>
      </c>
      <c r="R120" s="13">
        <v>41717</v>
      </c>
      <c r="S120" s="13">
        <v>41717</v>
      </c>
    </row>
    <row r="121" spans="1:19">
      <c r="A121" s="10">
        <v>2014</v>
      </c>
      <c r="B121" s="11" t="s">
        <v>489</v>
      </c>
      <c r="C121" s="11" t="s">
        <v>490</v>
      </c>
      <c r="D121" s="12">
        <v>1002052</v>
      </c>
      <c r="E121" s="12">
        <v>2</v>
      </c>
      <c r="F121" s="12"/>
      <c r="G121" s="12">
        <v>600</v>
      </c>
      <c r="H121" s="12">
        <v>11.3</v>
      </c>
      <c r="I121" s="12" t="s">
        <v>401</v>
      </c>
      <c r="J121" s="12" t="s">
        <v>402</v>
      </c>
      <c r="K121" s="12" t="b">
        <v>1</v>
      </c>
      <c r="L121" s="12">
        <v>3</v>
      </c>
      <c r="M121" s="8">
        <v>2017</v>
      </c>
      <c r="N121" s="9">
        <v>1480853.69</v>
      </c>
      <c r="O121" s="9">
        <v>718974.51</v>
      </c>
      <c r="P121" s="9">
        <v>3546636.65</v>
      </c>
      <c r="Q121" s="9">
        <v>3319528.6</v>
      </c>
      <c r="R121" s="13">
        <v>41717</v>
      </c>
      <c r="S121" s="13">
        <v>41717</v>
      </c>
    </row>
    <row r="122" spans="1:19">
      <c r="A122" s="10">
        <v>2014</v>
      </c>
      <c r="B122" s="11" t="s">
        <v>489</v>
      </c>
      <c r="C122" s="11" t="s">
        <v>490</v>
      </c>
      <c r="D122" s="12">
        <v>1002052</v>
      </c>
      <c r="E122" s="12">
        <v>2</v>
      </c>
      <c r="F122" s="12"/>
      <c r="G122" s="12">
        <v>184</v>
      </c>
      <c r="H122" s="12" t="s">
        <v>370</v>
      </c>
      <c r="I122" s="12"/>
      <c r="J122" s="12" t="s">
        <v>371</v>
      </c>
      <c r="K122" s="12" t="b">
        <v>0</v>
      </c>
      <c r="L122" s="12">
        <v>0</v>
      </c>
      <c r="M122" s="8">
        <v>2014</v>
      </c>
      <c r="N122" s="9">
        <v>0</v>
      </c>
      <c r="O122" s="9">
        <v>0</v>
      </c>
      <c r="P122" s="9">
        <v>0</v>
      </c>
      <c r="Q122" s="9">
        <v>0</v>
      </c>
      <c r="R122" s="13">
        <v>41717</v>
      </c>
      <c r="S122" s="13">
        <v>41717</v>
      </c>
    </row>
    <row r="123" spans="1:19">
      <c r="A123" s="10">
        <v>2014</v>
      </c>
      <c r="B123" s="11" t="s">
        <v>489</v>
      </c>
      <c r="C123" s="11" t="s">
        <v>490</v>
      </c>
      <c r="D123" s="12">
        <v>1002052</v>
      </c>
      <c r="E123" s="12">
        <v>2</v>
      </c>
      <c r="F123" s="12"/>
      <c r="G123" s="12">
        <v>765</v>
      </c>
      <c r="H123" s="12">
        <v>12.6</v>
      </c>
      <c r="I123" s="12"/>
      <c r="J123" s="12" t="s">
        <v>408</v>
      </c>
      <c r="K123" s="12" t="b">
        <v>1</v>
      </c>
      <c r="L123" s="12">
        <v>0</v>
      </c>
      <c r="M123" s="8">
        <v>2014</v>
      </c>
      <c r="N123" s="9">
        <v>0</v>
      </c>
      <c r="O123" s="9">
        <v>0</v>
      </c>
      <c r="P123" s="9">
        <v>0</v>
      </c>
      <c r="Q123" s="9">
        <v>0</v>
      </c>
      <c r="R123" s="13">
        <v>41717</v>
      </c>
      <c r="S123" s="13">
        <v>41717</v>
      </c>
    </row>
    <row r="124" spans="1:19">
      <c r="A124" s="10">
        <v>2014</v>
      </c>
      <c r="B124" s="11" t="s">
        <v>489</v>
      </c>
      <c r="C124" s="11" t="s">
        <v>490</v>
      </c>
      <c r="D124" s="12">
        <v>1002052</v>
      </c>
      <c r="E124" s="12">
        <v>2</v>
      </c>
      <c r="F124" s="12"/>
      <c r="G124" s="12">
        <v>950</v>
      </c>
      <c r="H124" s="12">
        <v>15</v>
      </c>
      <c r="I124" s="12"/>
      <c r="J124" s="12" t="s">
        <v>417</v>
      </c>
      <c r="K124" s="12" t="b">
        <v>1</v>
      </c>
      <c r="L124" s="12">
        <v>0</v>
      </c>
      <c r="M124" s="8">
        <v>2014</v>
      </c>
      <c r="N124" s="9">
        <v>0</v>
      </c>
      <c r="O124" s="9">
        <v>0</v>
      </c>
      <c r="P124" s="9">
        <v>0</v>
      </c>
      <c r="Q124" s="9">
        <v>0</v>
      </c>
      <c r="R124" s="13">
        <v>41717</v>
      </c>
      <c r="S124" s="13">
        <v>41717</v>
      </c>
    </row>
    <row r="125" spans="1:19">
      <c r="A125" s="10">
        <v>2014</v>
      </c>
      <c r="B125" s="11" t="s">
        <v>489</v>
      </c>
      <c r="C125" s="11" t="s">
        <v>490</v>
      </c>
      <c r="D125" s="12">
        <v>1002052</v>
      </c>
      <c r="E125" s="12">
        <v>2</v>
      </c>
      <c r="F125" s="12"/>
      <c r="G125" s="12">
        <v>850</v>
      </c>
      <c r="H125" s="12">
        <v>13.6</v>
      </c>
      <c r="I125" s="12"/>
      <c r="J125" s="12" t="s">
        <v>124</v>
      </c>
      <c r="K125" s="12" t="b">
        <v>1</v>
      </c>
      <c r="L125" s="12">
        <v>2</v>
      </c>
      <c r="M125" s="8">
        <v>2016</v>
      </c>
      <c r="N125" s="9">
        <v>0</v>
      </c>
      <c r="O125" s="9">
        <v>0</v>
      </c>
      <c r="P125" s="9">
        <v>0</v>
      </c>
      <c r="Q125" s="9">
        <v>0</v>
      </c>
      <c r="R125" s="13">
        <v>41717</v>
      </c>
      <c r="S125" s="13">
        <v>41717</v>
      </c>
    </row>
    <row r="126" spans="1:19">
      <c r="A126" s="10">
        <v>2014</v>
      </c>
      <c r="B126" s="11" t="s">
        <v>489</v>
      </c>
      <c r="C126" s="11" t="s">
        <v>490</v>
      </c>
      <c r="D126" s="12">
        <v>1002052</v>
      </c>
      <c r="E126" s="12">
        <v>2</v>
      </c>
      <c r="F126" s="12"/>
      <c r="G126" s="12">
        <v>480</v>
      </c>
      <c r="H126" s="12">
        <v>9.1999999999999993</v>
      </c>
      <c r="I126" s="12" t="s">
        <v>387</v>
      </c>
      <c r="J126" s="12" t="s">
        <v>388</v>
      </c>
      <c r="K126" s="12" t="b">
        <v>0</v>
      </c>
      <c r="L126" s="12">
        <v>2</v>
      </c>
      <c r="M126" s="8">
        <v>2016</v>
      </c>
      <c r="N126" s="9">
        <v>7.4000000000000003E-3</v>
      </c>
      <c r="O126" s="9">
        <v>5.45E-2</v>
      </c>
      <c r="P126" s="9">
        <v>6.1800000000000001E-2</v>
      </c>
      <c r="Q126" s="9">
        <v>6.0900000000000003E-2</v>
      </c>
      <c r="R126" s="13">
        <v>41717</v>
      </c>
      <c r="S126" s="13">
        <v>41717</v>
      </c>
    </row>
    <row r="127" spans="1:19">
      <c r="A127" s="10">
        <v>2014</v>
      </c>
      <c r="B127" s="11" t="s">
        <v>489</v>
      </c>
      <c r="C127" s="11" t="s">
        <v>490</v>
      </c>
      <c r="D127" s="12">
        <v>1002052</v>
      </c>
      <c r="E127" s="12">
        <v>2</v>
      </c>
      <c r="F127" s="12"/>
      <c r="G127" s="12">
        <v>700</v>
      </c>
      <c r="H127" s="12">
        <v>12.2</v>
      </c>
      <c r="I127" s="12"/>
      <c r="J127" s="12" t="s">
        <v>103</v>
      </c>
      <c r="K127" s="12" t="b">
        <v>0</v>
      </c>
      <c r="L127" s="12">
        <v>2</v>
      </c>
      <c r="M127" s="8">
        <v>2016</v>
      </c>
      <c r="N127" s="9">
        <v>1041937.3</v>
      </c>
      <c r="O127" s="9">
        <v>1013324.7</v>
      </c>
      <c r="P127" s="9">
        <v>421154</v>
      </c>
      <c r="Q127" s="9">
        <v>478204.67</v>
      </c>
      <c r="R127" s="13">
        <v>41717</v>
      </c>
      <c r="S127" s="13">
        <v>41717</v>
      </c>
    </row>
    <row r="128" spans="1:19">
      <c r="A128" s="10">
        <v>2014</v>
      </c>
      <c r="B128" s="11" t="s">
        <v>489</v>
      </c>
      <c r="C128" s="11" t="s">
        <v>490</v>
      </c>
      <c r="D128" s="12">
        <v>1002052</v>
      </c>
      <c r="E128" s="12">
        <v>2</v>
      </c>
      <c r="F128" s="12"/>
      <c r="G128" s="12">
        <v>740</v>
      </c>
      <c r="H128" s="12" t="s">
        <v>109</v>
      </c>
      <c r="I128" s="12"/>
      <c r="J128" s="12" t="s">
        <v>110</v>
      </c>
      <c r="K128" s="12" t="b">
        <v>0</v>
      </c>
      <c r="L128" s="12">
        <v>2</v>
      </c>
      <c r="M128" s="8">
        <v>2016</v>
      </c>
      <c r="N128" s="9">
        <v>104205.63</v>
      </c>
      <c r="O128" s="9">
        <v>133542.57999999999</v>
      </c>
      <c r="P128" s="9">
        <v>123351.7</v>
      </c>
      <c r="Q128" s="9">
        <v>120259.63</v>
      </c>
      <c r="R128" s="13">
        <v>41717</v>
      </c>
      <c r="S128" s="13">
        <v>41717</v>
      </c>
    </row>
    <row r="129" spans="1:19">
      <c r="A129" s="10">
        <v>2014</v>
      </c>
      <c r="B129" s="11" t="s">
        <v>489</v>
      </c>
      <c r="C129" s="11" t="s">
        <v>490</v>
      </c>
      <c r="D129" s="12">
        <v>1002052</v>
      </c>
      <c r="E129" s="12">
        <v>2</v>
      </c>
      <c r="F129" s="12"/>
      <c r="G129" s="12">
        <v>508</v>
      </c>
      <c r="H129" s="12">
        <v>9.5</v>
      </c>
      <c r="I129" s="12" t="s">
        <v>392</v>
      </c>
      <c r="J129" s="12" t="s">
        <v>393</v>
      </c>
      <c r="K129" s="12" t="b">
        <v>0</v>
      </c>
      <c r="L129" s="12">
        <v>2</v>
      </c>
      <c r="M129" s="8">
        <v>2016</v>
      </c>
      <c r="N129" s="9">
        <v>9.5100000000000004E-2</v>
      </c>
      <c r="O129" s="9">
        <v>0.26129999999999998</v>
      </c>
      <c r="P129" s="9">
        <v>0.2104</v>
      </c>
      <c r="Q129" s="9">
        <v>0.20380000000000001</v>
      </c>
      <c r="R129" s="13">
        <v>41717</v>
      </c>
      <c r="S129" s="13">
        <v>41717</v>
      </c>
    </row>
    <row r="130" spans="1:19">
      <c r="A130" s="10">
        <v>2014</v>
      </c>
      <c r="B130" s="11" t="s">
        <v>489</v>
      </c>
      <c r="C130" s="11" t="s">
        <v>490</v>
      </c>
      <c r="D130" s="12">
        <v>1002052</v>
      </c>
      <c r="E130" s="12">
        <v>2</v>
      </c>
      <c r="F130" s="12"/>
      <c r="G130" s="12">
        <v>334</v>
      </c>
      <c r="H130" s="12" t="s">
        <v>378</v>
      </c>
      <c r="I130" s="12"/>
      <c r="J130" s="12" t="s">
        <v>379</v>
      </c>
      <c r="K130" s="12" t="b">
        <v>1</v>
      </c>
      <c r="L130" s="12">
        <v>3</v>
      </c>
      <c r="M130" s="8">
        <v>2017</v>
      </c>
      <c r="N130" s="9">
        <v>0</v>
      </c>
      <c r="O130" s="9">
        <v>0</v>
      </c>
      <c r="P130" s="9">
        <v>0</v>
      </c>
      <c r="Q130" s="9">
        <v>0</v>
      </c>
      <c r="R130" s="13">
        <v>41717</v>
      </c>
      <c r="S130" s="13">
        <v>41717</v>
      </c>
    </row>
    <row r="131" spans="1:19">
      <c r="A131" s="10">
        <v>2014</v>
      </c>
      <c r="B131" s="11" t="s">
        <v>489</v>
      </c>
      <c r="C131" s="11" t="s">
        <v>490</v>
      </c>
      <c r="D131" s="12">
        <v>1002052</v>
      </c>
      <c r="E131" s="12">
        <v>2</v>
      </c>
      <c r="F131" s="12"/>
      <c r="G131" s="12">
        <v>180</v>
      </c>
      <c r="H131" s="12" t="s">
        <v>64</v>
      </c>
      <c r="I131" s="12"/>
      <c r="J131" s="12" t="s">
        <v>367</v>
      </c>
      <c r="K131" s="12" t="b">
        <v>0</v>
      </c>
      <c r="L131" s="12">
        <v>2</v>
      </c>
      <c r="M131" s="8">
        <v>2016</v>
      </c>
      <c r="N131" s="9">
        <v>38272.47</v>
      </c>
      <c r="O131" s="9">
        <v>83194.59</v>
      </c>
      <c r="P131" s="9">
        <v>95000</v>
      </c>
      <c r="Q131" s="9">
        <v>36075.83</v>
      </c>
      <c r="R131" s="13">
        <v>41717</v>
      </c>
      <c r="S131" s="13">
        <v>41717</v>
      </c>
    </row>
    <row r="132" spans="1:19">
      <c r="A132" s="10">
        <v>2014</v>
      </c>
      <c r="B132" s="11" t="s">
        <v>489</v>
      </c>
      <c r="C132" s="11" t="s">
        <v>490</v>
      </c>
      <c r="D132" s="12">
        <v>1002052</v>
      </c>
      <c r="E132" s="12">
        <v>2</v>
      </c>
      <c r="F132" s="12"/>
      <c r="G132" s="12">
        <v>950</v>
      </c>
      <c r="H132" s="12">
        <v>15</v>
      </c>
      <c r="I132" s="12"/>
      <c r="J132" s="12" t="s">
        <v>417</v>
      </c>
      <c r="K132" s="12" t="b">
        <v>1</v>
      </c>
      <c r="L132" s="12">
        <v>2</v>
      </c>
      <c r="M132" s="8">
        <v>2016</v>
      </c>
      <c r="N132" s="9">
        <v>0</v>
      </c>
      <c r="O132" s="9">
        <v>0</v>
      </c>
      <c r="P132" s="9">
        <v>0</v>
      </c>
      <c r="Q132" s="9">
        <v>0</v>
      </c>
      <c r="R132" s="13">
        <v>41717</v>
      </c>
      <c r="S132" s="13">
        <v>41717</v>
      </c>
    </row>
    <row r="133" spans="1:19">
      <c r="A133" s="10">
        <v>2014</v>
      </c>
      <c r="B133" s="11" t="s">
        <v>489</v>
      </c>
      <c r="C133" s="11" t="s">
        <v>490</v>
      </c>
      <c r="D133" s="12">
        <v>1002052</v>
      </c>
      <c r="E133" s="12">
        <v>2</v>
      </c>
      <c r="F133" s="12"/>
      <c r="G133" s="12">
        <v>470</v>
      </c>
      <c r="H133" s="12">
        <v>9.1</v>
      </c>
      <c r="I133" s="12" t="s">
        <v>385</v>
      </c>
      <c r="J133" s="12" t="s">
        <v>386</v>
      </c>
      <c r="K133" s="12" t="b">
        <v>1</v>
      </c>
      <c r="L133" s="12">
        <v>3</v>
      </c>
      <c r="M133" s="8">
        <v>2017</v>
      </c>
      <c r="N133" s="9">
        <v>5.45E-2</v>
      </c>
      <c r="O133" s="9">
        <v>9.6799999999999997E-2</v>
      </c>
      <c r="P133" s="9">
        <v>6.1800000000000001E-2</v>
      </c>
      <c r="Q133" s="9">
        <v>6.0900000000000003E-2</v>
      </c>
      <c r="R133" s="13">
        <v>41717</v>
      </c>
      <c r="S133" s="13">
        <v>41717</v>
      </c>
    </row>
    <row r="134" spans="1:19">
      <c r="A134" s="10">
        <v>2014</v>
      </c>
      <c r="B134" s="11" t="s">
        <v>489</v>
      </c>
      <c r="C134" s="11" t="s">
        <v>490</v>
      </c>
      <c r="D134" s="12">
        <v>1002052</v>
      </c>
      <c r="E134" s="12">
        <v>2</v>
      </c>
      <c r="F134" s="12"/>
      <c r="G134" s="12">
        <v>980</v>
      </c>
      <c r="H134" s="12">
        <v>15.2</v>
      </c>
      <c r="I134" s="12"/>
      <c r="J134" s="12" t="s">
        <v>423</v>
      </c>
      <c r="K134" s="12" t="b">
        <v>1</v>
      </c>
      <c r="L134" s="12">
        <v>1</v>
      </c>
      <c r="M134" s="8">
        <v>2015</v>
      </c>
      <c r="N134" s="9">
        <v>0</v>
      </c>
      <c r="O134" s="9">
        <v>0</v>
      </c>
      <c r="P134" s="9">
        <v>0</v>
      </c>
      <c r="Q134" s="9">
        <v>0</v>
      </c>
      <c r="R134" s="13">
        <v>41717</v>
      </c>
      <c r="S134" s="13">
        <v>41717</v>
      </c>
    </row>
    <row r="135" spans="1:19">
      <c r="A135" s="10">
        <v>2014</v>
      </c>
      <c r="B135" s="11" t="s">
        <v>489</v>
      </c>
      <c r="C135" s="11" t="s">
        <v>490</v>
      </c>
      <c r="D135" s="12">
        <v>1002052</v>
      </c>
      <c r="E135" s="12">
        <v>2</v>
      </c>
      <c r="F135" s="12"/>
      <c r="G135" s="12">
        <v>890</v>
      </c>
      <c r="H135" s="12">
        <v>14.2</v>
      </c>
      <c r="I135" s="12"/>
      <c r="J135" s="12" t="s">
        <v>128</v>
      </c>
      <c r="K135" s="12" t="b">
        <v>1</v>
      </c>
      <c r="L135" s="12">
        <v>1</v>
      </c>
      <c r="M135" s="8">
        <v>2015</v>
      </c>
      <c r="N135" s="9">
        <v>0</v>
      </c>
      <c r="O135" s="9">
        <v>0</v>
      </c>
      <c r="P135" s="9">
        <v>0</v>
      </c>
      <c r="Q135" s="9">
        <v>0</v>
      </c>
      <c r="R135" s="13">
        <v>41717</v>
      </c>
      <c r="S135" s="13">
        <v>41717</v>
      </c>
    </row>
    <row r="136" spans="1:19">
      <c r="A136" s="10">
        <v>2014</v>
      </c>
      <c r="B136" s="11" t="s">
        <v>489</v>
      </c>
      <c r="C136" s="11" t="s">
        <v>490</v>
      </c>
      <c r="D136" s="12">
        <v>1002052</v>
      </c>
      <c r="E136" s="12">
        <v>2</v>
      </c>
      <c r="F136" s="12"/>
      <c r="G136" s="12">
        <v>890</v>
      </c>
      <c r="H136" s="12">
        <v>14.2</v>
      </c>
      <c r="I136" s="12"/>
      <c r="J136" s="12" t="s">
        <v>128</v>
      </c>
      <c r="K136" s="12" t="b">
        <v>1</v>
      </c>
      <c r="L136" s="12">
        <v>3</v>
      </c>
      <c r="M136" s="8">
        <v>2017</v>
      </c>
      <c r="N136" s="9">
        <v>0</v>
      </c>
      <c r="O136" s="9">
        <v>0</v>
      </c>
      <c r="P136" s="9">
        <v>0</v>
      </c>
      <c r="Q136" s="9">
        <v>0</v>
      </c>
      <c r="R136" s="13">
        <v>41717</v>
      </c>
      <c r="S136" s="13">
        <v>41717</v>
      </c>
    </row>
    <row r="137" spans="1:19">
      <c r="A137" s="10">
        <v>2014</v>
      </c>
      <c r="B137" s="11" t="s">
        <v>489</v>
      </c>
      <c r="C137" s="11" t="s">
        <v>490</v>
      </c>
      <c r="D137" s="12">
        <v>1002052</v>
      </c>
      <c r="E137" s="12">
        <v>2</v>
      </c>
      <c r="F137" s="12"/>
      <c r="G137" s="12">
        <v>680</v>
      </c>
      <c r="H137" s="12" t="s">
        <v>99</v>
      </c>
      <c r="I137" s="12"/>
      <c r="J137" s="12" t="s">
        <v>100</v>
      </c>
      <c r="K137" s="12" t="b">
        <v>1</v>
      </c>
      <c r="L137" s="12">
        <v>0</v>
      </c>
      <c r="M137" s="8">
        <v>2014</v>
      </c>
      <c r="N137" s="9">
        <v>104205.75</v>
      </c>
      <c r="O137" s="9">
        <v>160689</v>
      </c>
      <c r="P137" s="9">
        <v>96205.25</v>
      </c>
      <c r="Q137" s="9">
        <v>93191.67</v>
      </c>
      <c r="R137" s="13">
        <v>41717</v>
      </c>
      <c r="S137" s="13">
        <v>41717</v>
      </c>
    </row>
    <row r="138" spans="1:19">
      <c r="A138" s="10">
        <v>2014</v>
      </c>
      <c r="B138" s="11" t="s">
        <v>489</v>
      </c>
      <c r="C138" s="11" t="s">
        <v>490</v>
      </c>
      <c r="D138" s="12">
        <v>1002052</v>
      </c>
      <c r="E138" s="12">
        <v>2</v>
      </c>
      <c r="F138" s="12"/>
      <c r="G138" s="12">
        <v>430</v>
      </c>
      <c r="H138" s="12">
        <v>8.1999999999999993</v>
      </c>
      <c r="I138" s="12" t="s">
        <v>383</v>
      </c>
      <c r="J138" s="12" t="s">
        <v>384</v>
      </c>
      <c r="K138" s="12" t="b">
        <v>0</v>
      </c>
      <c r="L138" s="12">
        <v>2</v>
      </c>
      <c r="M138" s="8">
        <v>2016</v>
      </c>
      <c r="N138" s="9">
        <v>1161314</v>
      </c>
      <c r="O138" s="9">
        <v>4507213.4800000004</v>
      </c>
      <c r="P138" s="9">
        <v>4241885.46</v>
      </c>
      <c r="Q138" s="9">
        <v>4966380.63</v>
      </c>
      <c r="R138" s="13">
        <v>41717</v>
      </c>
      <c r="S138" s="13">
        <v>41717</v>
      </c>
    </row>
    <row r="139" spans="1:19">
      <c r="A139" s="10">
        <v>2014</v>
      </c>
      <c r="B139" s="11" t="s">
        <v>489</v>
      </c>
      <c r="C139" s="11" t="s">
        <v>490</v>
      </c>
      <c r="D139" s="12">
        <v>1002052</v>
      </c>
      <c r="E139" s="12">
        <v>2</v>
      </c>
      <c r="F139" s="12"/>
      <c r="G139" s="12">
        <v>970</v>
      </c>
      <c r="H139" s="12" t="s">
        <v>420</v>
      </c>
      <c r="I139" s="12"/>
      <c r="J139" s="12" t="s">
        <v>421</v>
      </c>
      <c r="K139" s="12" t="b">
        <v>1</v>
      </c>
      <c r="L139" s="12">
        <v>0</v>
      </c>
      <c r="M139" s="8">
        <v>2014</v>
      </c>
      <c r="N139" s="9">
        <v>0</v>
      </c>
      <c r="O139" s="9">
        <v>0</v>
      </c>
      <c r="P139" s="9">
        <v>0</v>
      </c>
      <c r="Q139" s="9">
        <v>0</v>
      </c>
      <c r="R139" s="13">
        <v>41717</v>
      </c>
      <c r="S139" s="13">
        <v>41717</v>
      </c>
    </row>
    <row r="140" spans="1:19">
      <c r="A140" s="10">
        <v>2014</v>
      </c>
      <c r="B140" s="11" t="s">
        <v>489</v>
      </c>
      <c r="C140" s="11" t="s">
        <v>490</v>
      </c>
      <c r="D140" s="12">
        <v>1002052</v>
      </c>
      <c r="E140" s="12">
        <v>2</v>
      </c>
      <c r="F140" s="12"/>
      <c r="G140" s="12">
        <v>570</v>
      </c>
      <c r="H140" s="12">
        <v>11</v>
      </c>
      <c r="I140" s="12"/>
      <c r="J140" s="12" t="s">
        <v>87</v>
      </c>
      <c r="K140" s="12" t="b">
        <v>0</v>
      </c>
      <c r="L140" s="12">
        <v>1</v>
      </c>
      <c r="M140" s="8">
        <v>2015</v>
      </c>
      <c r="N140" s="9">
        <v>0</v>
      </c>
      <c r="O140" s="9">
        <v>0</v>
      </c>
      <c r="P140" s="9">
        <v>0</v>
      </c>
      <c r="Q140" s="9">
        <v>0</v>
      </c>
      <c r="R140" s="13">
        <v>41717</v>
      </c>
      <c r="S140" s="13">
        <v>41717</v>
      </c>
    </row>
    <row r="141" spans="1:19">
      <c r="A141" s="10">
        <v>2014</v>
      </c>
      <c r="B141" s="11" t="s">
        <v>489</v>
      </c>
      <c r="C141" s="11" t="s">
        <v>490</v>
      </c>
      <c r="D141" s="12">
        <v>1002052</v>
      </c>
      <c r="E141" s="12">
        <v>2</v>
      </c>
      <c r="F141" s="12"/>
      <c r="G141" s="12">
        <v>765</v>
      </c>
      <c r="H141" s="12">
        <v>12.6</v>
      </c>
      <c r="I141" s="12"/>
      <c r="J141" s="12" t="s">
        <v>408</v>
      </c>
      <c r="K141" s="12" t="b">
        <v>1</v>
      </c>
      <c r="L141" s="12">
        <v>2</v>
      </c>
      <c r="M141" s="8">
        <v>2016</v>
      </c>
      <c r="N141" s="9">
        <v>0</v>
      </c>
      <c r="O141" s="9">
        <v>0</v>
      </c>
      <c r="P141" s="9">
        <v>0</v>
      </c>
      <c r="Q141" s="9">
        <v>0</v>
      </c>
      <c r="R141" s="13">
        <v>41717</v>
      </c>
      <c r="S141" s="13">
        <v>41717</v>
      </c>
    </row>
    <row r="142" spans="1:19">
      <c r="A142" s="10">
        <v>2014</v>
      </c>
      <c r="B142" s="11" t="s">
        <v>489</v>
      </c>
      <c r="C142" s="11" t="s">
        <v>490</v>
      </c>
      <c r="D142" s="12">
        <v>1002052</v>
      </c>
      <c r="E142" s="12">
        <v>2</v>
      </c>
      <c r="F142" s="12"/>
      <c r="G142" s="12">
        <v>650</v>
      </c>
      <c r="H142" s="12">
        <v>11.6</v>
      </c>
      <c r="I142" s="12"/>
      <c r="J142" s="12" t="s">
        <v>96</v>
      </c>
      <c r="K142" s="12" t="b">
        <v>1</v>
      </c>
      <c r="L142" s="12">
        <v>0</v>
      </c>
      <c r="M142" s="8">
        <v>2014</v>
      </c>
      <c r="N142" s="9">
        <v>0</v>
      </c>
      <c r="O142" s="9">
        <v>0</v>
      </c>
      <c r="P142" s="9">
        <v>39000</v>
      </c>
      <c r="Q142" s="9">
        <v>27700</v>
      </c>
      <c r="R142" s="13">
        <v>41717</v>
      </c>
      <c r="S142" s="13">
        <v>41717</v>
      </c>
    </row>
    <row r="143" spans="1:19">
      <c r="A143" s="10">
        <v>2014</v>
      </c>
      <c r="B143" s="11" t="s">
        <v>489</v>
      </c>
      <c r="C143" s="11" t="s">
        <v>490</v>
      </c>
      <c r="D143" s="12">
        <v>1002052</v>
      </c>
      <c r="E143" s="12">
        <v>2</v>
      </c>
      <c r="F143" s="12"/>
      <c r="G143" s="12">
        <v>900</v>
      </c>
      <c r="H143" s="12">
        <v>14.3</v>
      </c>
      <c r="I143" s="12"/>
      <c r="J143" s="12" t="s">
        <v>129</v>
      </c>
      <c r="K143" s="12" t="b">
        <v>1</v>
      </c>
      <c r="L143" s="12">
        <v>0</v>
      </c>
      <c r="M143" s="8">
        <v>2014</v>
      </c>
      <c r="N143" s="9">
        <v>0</v>
      </c>
      <c r="O143" s="9">
        <v>0</v>
      </c>
      <c r="P143" s="9">
        <v>0</v>
      </c>
      <c r="Q143" s="9">
        <v>0</v>
      </c>
      <c r="R143" s="13">
        <v>41717</v>
      </c>
      <c r="S143" s="13">
        <v>41717</v>
      </c>
    </row>
    <row r="144" spans="1:19">
      <c r="A144" s="10">
        <v>2014</v>
      </c>
      <c r="B144" s="11" t="s">
        <v>489</v>
      </c>
      <c r="C144" s="11" t="s">
        <v>490</v>
      </c>
      <c r="D144" s="12">
        <v>1002052</v>
      </c>
      <c r="E144" s="12">
        <v>2</v>
      </c>
      <c r="F144" s="12"/>
      <c r="G144" s="12">
        <v>580</v>
      </c>
      <c r="H144" s="12">
        <v>11.1</v>
      </c>
      <c r="I144" s="12"/>
      <c r="J144" s="12" t="s">
        <v>88</v>
      </c>
      <c r="K144" s="12" t="b">
        <v>0</v>
      </c>
      <c r="L144" s="12">
        <v>0</v>
      </c>
      <c r="M144" s="8">
        <v>2014</v>
      </c>
      <c r="N144" s="9">
        <v>4441226.62</v>
      </c>
      <c r="O144" s="9">
        <v>4171528.09</v>
      </c>
      <c r="P144" s="9">
        <v>4406547.84</v>
      </c>
      <c r="Q144" s="9">
        <v>4149289.86</v>
      </c>
      <c r="R144" s="13">
        <v>41717</v>
      </c>
      <c r="S144" s="13">
        <v>41717</v>
      </c>
    </row>
    <row r="145" spans="1:19">
      <c r="A145" s="10">
        <v>2014</v>
      </c>
      <c r="B145" s="11" t="s">
        <v>489</v>
      </c>
      <c r="C145" s="11" t="s">
        <v>490</v>
      </c>
      <c r="D145" s="12">
        <v>1002052</v>
      </c>
      <c r="E145" s="12">
        <v>2</v>
      </c>
      <c r="F145" s="12"/>
      <c r="G145" s="12">
        <v>290</v>
      </c>
      <c r="H145" s="12" t="s">
        <v>75</v>
      </c>
      <c r="I145" s="12"/>
      <c r="J145" s="12" t="s">
        <v>71</v>
      </c>
      <c r="K145" s="12" t="b">
        <v>0</v>
      </c>
      <c r="L145" s="12">
        <v>3</v>
      </c>
      <c r="M145" s="8">
        <v>2017</v>
      </c>
      <c r="N145" s="9">
        <v>0</v>
      </c>
      <c r="O145" s="9">
        <v>0</v>
      </c>
      <c r="P145" s="9">
        <v>0</v>
      </c>
      <c r="Q145" s="9">
        <v>0</v>
      </c>
      <c r="R145" s="13">
        <v>41717</v>
      </c>
      <c r="S145" s="13">
        <v>41717</v>
      </c>
    </row>
    <row r="146" spans="1:19">
      <c r="A146" s="10">
        <v>2014</v>
      </c>
      <c r="B146" s="11" t="s">
        <v>489</v>
      </c>
      <c r="C146" s="11" t="s">
        <v>490</v>
      </c>
      <c r="D146" s="12">
        <v>1002052</v>
      </c>
      <c r="E146" s="12">
        <v>2</v>
      </c>
      <c r="F146" s="12"/>
      <c r="G146" s="12">
        <v>960</v>
      </c>
      <c r="H146" s="12">
        <v>15.1</v>
      </c>
      <c r="I146" s="12"/>
      <c r="J146" s="12" t="s">
        <v>419</v>
      </c>
      <c r="K146" s="12" t="b">
        <v>1</v>
      </c>
      <c r="L146" s="12">
        <v>2</v>
      </c>
      <c r="M146" s="8">
        <v>2016</v>
      </c>
      <c r="N146" s="9">
        <v>0</v>
      </c>
      <c r="O146" s="9">
        <v>0</v>
      </c>
      <c r="P146" s="9">
        <v>0</v>
      </c>
      <c r="Q146" s="9">
        <v>0</v>
      </c>
      <c r="R146" s="13">
        <v>41717</v>
      </c>
      <c r="S146" s="13">
        <v>41717</v>
      </c>
    </row>
    <row r="147" spans="1:19">
      <c r="A147" s="10">
        <v>2014</v>
      </c>
      <c r="B147" s="11" t="s">
        <v>489</v>
      </c>
      <c r="C147" s="11" t="s">
        <v>490</v>
      </c>
      <c r="D147" s="12">
        <v>1002052</v>
      </c>
      <c r="E147" s="12">
        <v>2</v>
      </c>
      <c r="F147" s="12"/>
      <c r="G147" s="12">
        <v>490</v>
      </c>
      <c r="H147" s="12">
        <v>9.3000000000000007</v>
      </c>
      <c r="I147" s="12"/>
      <c r="J147" s="12" t="s">
        <v>389</v>
      </c>
      <c r="K147" s="12" t="b">
        <v>1</v>
      </c>
      <c r="L147" s="12">
        <v>0</v>
      </c>
      <c r="M147" s="8">
        <v>2014</v>
      </c>
      <c r="N147" s="9">
        <v>0</v>
      </c>
      <c r="O147" s="9">
        <v>0</v>
      </c>
      <c r="P147" s="9">
        <v>0</v>
      </c>
      <c r="Q147" s="9">
        <v>0</v>
      </c>
      <c r="R147" s="13">
        <v>41717</v>
      </c>
      <c r="S147" s="13">
        <v>41717</v>
      </c>
    </row>
    <row r="148" spans="1:19">
      <c r="A148" s="10">
        <v>2014</v>
      </c>
      <c r="B148" s="11" t="s">
        <v>489</v>
      </c>
      <c r="C148" s="11" t="s">
        <v>490</v>
      </c>
      <c r="D148" s="12">
        <v>1002052</v>
      </c>
      <c r="E148" s="12">
        <v>2</v>
      </c>
      <c r="F148" s="12"/>
      <c r="G148" s="12">
        <v>570</v>
      </c>
      <c r="H148" s="12">
        <v>11</v>
      </c>
      <c r="I148" s="12"/>
      <c r="J148" s="12" t="s">
        <v>87</v>
      </c>
      <c r="K148" s="12" t="b">
        <v>0</v>
      </c>
      <c r="L148" s="12">
        <v>3</v>
      </c>
      <c r="M148" s="8">
        <v>2017</v>
      </c>
      <c r="N148" s="9">
        <v>0</v>
      </c>
      <c r="O148" s="9">
        <v>0</v>
      </c>
      <c r="P148" s="9">
        <v>0</v>
      </c>
      <c r="Q148" s="9">
        <v>0</v>
      </c>
      <c r="R148" s="13">
        <v>41717</v>
      </c>
      <c r="S148" s="13">
        <v>41717</v>
      </c>
    </row>
    <row r="149" spans="1:19">
      <c r="A149" s="10">
        <v>2014</v>
      </c>
      <c r="B149" s="11" t="s">
        <v>489</v>
      </c>
      <c r="C149" s="11" t="s">
        <v>490</v>
      </c>
      <c r="D149" s="12">
        <v>1002052</v>
      </c>
      <c r="E149" s="12">
        <v>2</v>
      </c>
      <c r="F149" s="12"/>
      <c r="G149" s="12">
        <v>320</v>
      </c>
      <c r="H149" s="12" t="s">
        <v>78</v>
      </c>
      <c r="I149" s="12" t="s">
        <v>375</v>
      </c>
      <c r="J149" s="12" t="s">
        <v>376</v>
      </c>
      <c r="K149" s="12" t="b">
        <v>1</v>
      </c>
      <c r="L149" s="12">
        <v>2</v>
      </c>
      <c r="M149" s="8">
        <v>2016</v>
      </c>
      <c r="N149" s="9">
        <v>552822</v>
      </c>
      <c r="O149" s="9">
        <v>595645.15</v>
      </c>
      <c r="P149" s="9">
        <v>0</v>
      </c>
      <c r="Q149" s="9">
        <v>0</v>
      </c>
      <c r="R149" s="13">
        <v>41717</v>
      </c>
      <c r="S149" s="13">
        <v>41717</v>
      </c>
    </row>
    <row r="150" spans="1:19">
      <c r="A150" s="10">
        <v>2014</v>
      </c>
      <c r="B150" s="11" t="s">
        <v>489</v>
      </c>
      <c r="C150" s="11" t="s">
        <v>490</v>
      </c>
      <c r="D150" s="12">
        <v>1002052</v>
      </c>
      <c r="E150" s="12">
        <v>2</v>
      </c>
      <c r="F150" s="12"/>
      <c r="G150" s="12">
        <v>336</v>
      </c>
      <c r="H150" s="12" t="s">
        <v>380</v>
      </c>
      <c r="I150" s="12"/>
      <c r="J150" s="12" t="s">
        <v>381</v>
      </c>
      <c r="K150" s="12" t="b">
        <v>1</v>
      </c>
      <c r="L150" s="12">
        <v>0</v>
      </c>
      <c r="M150" s="8">
        <v>2014</v>
      </c>
      <c r="N150" s="9">
        <v>0</v>
      </c>
      <c r="O150" s="9">
        <v>0</v>
      </c>
      <c r="P150" s="9">
        <v>0</v>
      </c>
      <c r="Q150" s="9">
        <v>0</v>
      </c>
      <c r="R150" s="13">
        <v>41717</v>
      </c>
      <c r="S150" s="13">
        <v>41717</v>
      </c>
    </row>
    <row r="151" spans="1:19">
      <c r="A151" s="10">
        <v>2014</v>
      </c>
      <c r="B151" s="11" t="s">
        <v>489</v>
      </c>
      <c r="C151" s="11" t="s">
        <v>490</v>
      </c>
      <c r="D151" s="12">
        <v>1002052</v>
      </c>
      <c r="E151" s="12">
        <v>2</v>
      </c>
      <c r="F151" s="12"/>
      <c r="G151" s="12">
        <v>980</v>
      </c>
      <c r="H151" s="12">
        <v>15.2</v>
      </c>
      <c r="I151" s="12"/>
      <c r="J151" s="12" t="s">
        <v>423</v>
      </c>
      <c r="K151" s="12" t="b">
        <v>1</v>
      </c>
      <c r="L151" s="12">
        <v>0</v>
      </c>
      <c r="M151" s="8">
        <v>2014</v>
      </c>
      <c r="N151" s="9">
        <v>0</v>
      </c>
      <c r="O151" s="9">
        <v>0</v>
      </c>
      <c r="P151" s="9">
        <v>0</v>
      </c>
      <c r="Q151" s="9">
        <v>0</v>
      </c>
      <c r="R151" s="13">
        <v>41717</v>
      </c>
      <c r="S151" s="13">
        <v>41717</v>
      </c>
    </row>
    <row r="152" spans="1:19">
      <c r="A152" s="10">
        <v>2014</v>
      </c>
      <c r="B152" s="11" t="s">
        <v>489</v>
      </c>
      <c r="C152" s="11" t="s">
        <v>490</v>
      </c>
      <c r="D152" s="12">
        <v>1002052</v>
      </c>
      <c r="E152" s="12">
        <v>2</v>
      </c>
      <c r="F152" s="12"/>
      <c r="G152" s="12">
        <v>110</v>
      </c>
      <c r="H152" s="12" t="s">
        <v>56</v>
      </c>
      <c r="I152" s="12"/>
      <c r="J152" s="12" t="s">
        <v>57</v>
      </c>
      <c r="K152" s="12" t="b">
        <v>1</v>
      </c>
      <c r="L152" s="12">
        <v>1</v>
      </c>
      <c r="M152" s="8">
        <v>2015</v>
      </c>
      <c r="N152" s="9">
        <v>1405937.3</v>
      </c>
      <c r="O152" s="9">
        <v>1332324.7</v>
      </c>
      <c r="P152" s="9">
        <v>664102</v>
      </c>
      <c r="Q152" s="9">
        <v>720552.67</v>
      </c>
      <c r="R152" s="13">
        <v>41717</v>
      </c>
      <c r="S152" s="13">
        <v>41717</v>
      </c>
    </row>
    <row r="153" spans="1:19">
      <c r="A153" s="10">
        <v>2014</v>
      </c>
      <c r="B153" s="11" t="s">
        <v>489</v>
      </c>
      <c r="C153" s="11" t="s">
        <v>490</v>
      </c>
      <c r="D153" s="12">
        <v>1002052</v>
      </c>
      <c r="E153" s="12">
        <v>2</v>
      </c>
      <c r="F153" s="12"/>
      <c r="G153" s="12">
        <v>430</v>
      </c>
      <c r="H153" s="12">
        <v>8.1999999999999993</v>
      </c>
      <c r="I153" s="12" t="s">
        <v>383</v>
      </c>
      <c r="J153" s="12" t="s">
        <v>384</v>
      </c>
      <c r="K153" s="12" t="b">
        <v>0</v>
      </c>
      <c r="L153" s="12">
        <v>0</v>
      </c>
      <c r="M153" s="8">
        <v>2014</v>
      </c>
      <c r="N153" s="9">
        <v>1161314</v>
      </c>
      <c r="O153" s="9">
        <v>4507213.4800000004</v>
      </c>
      <c r="P153" s="9">
        <v>4241885.46</v>
      </c>
      <c r="Q153" s="9">
        <v>4966380.63</v>
      </c>
      <c r="R153" s="13">
        <v>41717</v>
      </c>
      <c r="S153" s="13">
        <v>41717</v>
      </c>
    </row>
    <row r="154" spans="1:19">
      <c r="A154" s="10">
        <v>2014</v>
      </c>
      <c r="B154" s="11" t="s">
        <v>489</v>
      </c>
      <c r="C154" s="11" t="s">
        <v>490</v>
      </c>
      <c r="D154" s="12">
        <v>1002052</v>
      </c>
      <c r="E154" s="12">
        <v>2</v>
      </c>
      <c r="F154" s="12"/>
      <c r="G154" s="12">
        <v>769</v>
      </c>
      <c r="H154" s="12">
        <v>12.8</v>
      </c>
      <c r="I154" s="12"/>
      <c r="J154" s="12" t="s">
        <v>414</v>
      </c>
      <c r="K154" s="12" t="b">
        <v>1</v>
      </c>
      <c r="L154" s="12">
        <v>2</v>
      </c>
      <c r="M154" s="8">
        <v>2016</v>
      </c>
      <c r="N154" s="9">
        <v>0</v>
      </c>
      <c r="O154" s="9">
        <v>0</v>
      </c>
      <c r="P154" s="9">
        <v>0</v>
      </c>
      <c r="Q154" s="9">
        <v>0</v>
      </c>
      <c r="R154" s="13">
        <v>41717</v>
      </c>
      <c r="S154" s="13">
        <v>41717</v>
      </c>
    </row>
    <row r="155" spans="1:19">
      <c r="A155" s="10">
        <v>2014</v>
      </c>
      <c r="B155" s="11" t="s">
        <v>489</v>
      </c>
      <c r="C155" s="11" t="s">
        <v>490</v>
      </c>
      <c r="D155" s="12">
        <v>1002052</v>
      </c>
      <c r="E155" s="12">
        <v>2</v>
      </c>
      <c r="F155" s="12"/>
      <c r="G155" s="12">
        <v>910</v>
      </c>
      <c r="H155" s="12" t="s">
        <v>130</v>
      </c>
      <c r="I155" s="12"/>
      <c r="J155" s="12" t="s">
        <v>131</v>
      </c>
      <c r="K155" s="12" t="b">
        <v>1</v>
      </c>
      <c r="L155" s="12">
        <v>1</v>
      </c>
      <c r="M155" s="8">
        <v>2015</v>
      </c>
      <c r="N155" s="9">
        <v>0</v>
      </c>
      <c r="O155" s="9">
        <v>0</v>
      </c>
      <c r="P155" s="9">
        <v>0</v>
      </c>
      <c r="Q155" s="9">
        <v>0</v>
      </c>
      <c r="R155" s="13">
        <v>41717</v>
      </c>
      <c r="S155" s="13">
        <v>41717</v>
      </c>
    </row>
    <row r="156" spans="1:19">
      <c r="A156" s="10">
        <v>2014</v>
      </c>
      <c r="B156" s="11" t="s">
        <v>489</v>
      </c>
      <c r="C156" s="11" t="s">
        <v>490</v>
      </c>
      <c r="D156" s="12">
        <v>1002052</v>
      </c>
      <c r="E156" s="12">
        <v>2</v>
      </c>
      <c r="F156" s="12"/>
      <c r="G156" s="12">
        <v>530</v>
      </c>
      <c r="H156" s="12">
        <v>9.6999999999999993</v>
      </c>
      <c r="I156" s="12" t="s">
        <v>397</v>
      </c>
      <c r="J156" s="12" t="s">
        <v>398</v>
      </c>
      <c r="K156" s="12" t="b">
        <v>0</v>
      </c>
      <c r="L156" s="12">
        <v>0</v>
      </c>
      <c r="M156" s="8">
        <v>2014</v>
      </c>
      <c r="N156" s="9">
        <v>7.4000000000000003E-3</v>
      </c>
      <c r="O156" s="9">
        <v>5.45E-2</v>
      </c>
      <c r="P156" s="9">
        <v>6.1800000000000001E-2</v>
      </c>
      <c r="Q156" s="9">
        <v>6.0900000000000003E-2</v>
      </c>
      <c r="R156" s="13">
        <v>41717</v>
      </c>
      <c r="S156" s="13">
        <v>41717</v>
      </c>
    </row>
    <row r="157" spans="1:19">
      <c r="A157" s="10">
        <v>2014</v>
      </c>
      <c r="B157" s="11" t="s">
        <v>489</v>
      </c>
      <c r="C157" s="11" t="s">
        <v>490</v>
      </c>
      <c r="D157" s="12">
        <v>1002052</v>
      </c>
      <c r="E157" s="12">
        <v>2</v>
      </c>
      <c r="F157" s="12"/>
      <c r="G157" s="12">
        <v>170</v>
      </c>
      <c r="H157" s="12" t="s">
        <v>63</v>
      </c>
      <c r="I157" s="12"/>
      <c r="J157" s="12" t="s">
        <v>366</v>
      </c>
      <c r="K157" s="12" t="b">
        <v>1</v>
      </c>
      <c r="L157" s="12">
        <v>2</v>
      </c>
      <c r="M157" s="8">
        <v>2016</v>
      </c>
      <c r="N157" s="9">
        <v>41411.769999999997</v>
      </c>
      <c r="O157" s="9">
        <v>84758.58</v>
      </c>
      <c r="P157" s="9">
        <v>95000</v>
      </c>
      <c r="Q157" s="9">
        <v>36975.83</v>
      </c>
      <c r="R157" s="13">
        <v>41717</v>
      </c>
      <c r="S157" s="13">
        <v>41717</v>
      </c>
    </row>
    <row r="158" spans="1:19">
      <c r="A158" s="10">
        <v>2014</v>
      </c>
      <c r="B158" s="11" t="s">
        <v>489</v>
      </c>
      <c r="C158" s="11" t="s">
        <v>490</v>
      </c>
      <c r="D158" s="12">
        <v>1002052</v>
      </c>
      <c r="E158" s="12">
        <v>2</v>
      </c>
      <c r="F158" s="12"/>
      <c r="G158" s="12">
        <v>520</v>
      </c>
      <c r="H158" s="12" t="s">
        <v>83</v>
      </c>
      <c r="I158" s="12"/>
      <c r="J158" s="12" t="s">
        <v>396</v>
      </c>
      <c r="K158" s="12" t="b">
        <v>1</v>
      </c>
      <c r="L158" s="12">
        <v>2</v>
      </c>
      <c r="M158" s="8">
        <v>2016</v>
      </c>
      <c r="N158" s="9">
        <v>0</v>
      </c>
      <c r="O158" s="9">
        <v>0</v>
      </c>
      <c r="P158" s="9">
        <v>0</v>
      </c>
      <c r="Q158" s="9">
        <v>0</v>
      </c>
      <c r="R158" s="13">
        <v>41717</v>
      </c>
      <c r="S158" s="13">
        <v>41717</v>
      </c>
    </row>
    <row r="159" spans="1:19">
      <c r="A159" s="10">
        <v>2014</v>
      </c>
      <c r="B159" s="11" t="s">
        <v>489</v>
      </c>
      <c r="C159" s="11" t="s">
        <v>490</v>
      </c>
      <c r="D159" s="12">
        <v>1002052</v>
      </c>
      <c r="E159" s="12">
        <v>2</v>
      </c>
      <c r="F159" s="12"/>
      <c r="G159" s="12">
        <v>130</v>
      </c>
      <c r="H159" s="12">
        <v>2.1</v>
      </c>
      <c r="I159" s="12"/>
      <c r="J159" s="12" t="s">
        <v>58</v>
      </c>
      <c r="K159" s="12" t="b">
        <v>1</v>
      </c>
      <c r="L159" s="12">
        <v>0</v>
      </c>
      <c r="M159" s="8">
        <v>2014</v>
      </c>
      <c r="N159" s="9">
        <v>9211865.6600000001</v>
      </c>
      <c r="O159" s="9">
        <v>9055670.4299999997</v>
      </c>
      <c r="P159" s="9">
        <v>9959324.6999999993</v>
      </c>
      <c r="Q159" s="9">
        <v>9384342.0399999991</v>
      </c>
      <c r="R159" s="13">
        <v>41717</v>
      </c>
      <c r="S159" s="13">
        <v>41717</v>
      </c>
    </row>
    <row r="160" spans="1:19">
      <c r="A160" s="10">
        <v>2014</v>
      </c>
      <c r="B160" s="11" t="s">
        <v>489</v>
      </c>
      <c r="C160" s="11" t="s">
        <v>490</v>
      </c>
      <c r="D160" s="12">
        <v>1002052</v>
      </c>
      <c r="E160" s="12">
        <v>2</v>
      </c>
      <c r="F160" s="12"/>
      <c r="G160" s="12">
        <v>120</v>
      </c>
      <c r="H160" s="12">
        <v>2</v>
      </c>
      <c r="I160" s="12" t="s">
        <v>491</v>
      </c>
      <c r="J160" s="12" t="s">
        <v>19</v>
      </c>
      <c r="K160" s="12" t="b">
        <v>0</v>
      </c>
      <c r="L160" s="12">
        <v>3</v>
      </c>
      <c r="M160" s="8">
        <v>2017</v>
      </c>
      <c r="N160" s="9">
        <v>12835915.98</v>
      </c>
      <c r="O160" s="9">
        <v>11481546.43</v>
      </c>
      <c r="P160" s="9">
        <v>14584700.699999999</v>
      </c>
      <c r="Q160" s="9">
        <v>13777530.74</v>
      </c>
      <c r="R160" s="13">
        <v>41717</v>
      </c>
      <c r="S160" s="13">
        <v>41717</v>
      </c>
    </row>
    <row r="161" spans="1:19">
      <c r="A161" s="10">
        <v>2014</v>
      </c>
      <c r="B161" s="11" t="s">
        <v>489</v>
      </c>
      <c r="C161" s="11" t="s">
        <v>490</v>
      </c>
      <c r="D161" s="12">
        <v>1002052</v>
      </c>
      <c r="E161" s="12">
        <v>2</v>
      </c>
      <c r="F161" s="12"/>
      <c r="G161" s="12">
        <v>710</v>
      </c>
      <c r="H161" s="12" t="s">
        <v>104</v>
      </c>
      <c r="I161" s="12"/>
      <c r="J161" s="12" t="s">
        <v>105</v>
      </c>
      <c r="K161" s="12" t="b">
        <v>0</v>
      </c>
      <c r="L161" s="12">
        <v>2</v>
      </c>
      <c r="M161" s="8">
        <v>2016</v>
      </c>
      <c r="N161" s="9">
        <v>1041937.3</v>
      </c>
      <c r="O161" s="9">
        <v>826032</v>
      </c>
      <c r="P161" s="9">
        <v>232602</v>
      </c>
      <c r="Q161" s="9">
        <v>232601.81</v>
      </c>
      <c r="R161" s="13">
        <v>41717</v>
      </c>
      <c r="S161" s="13">
        <v>41717</v>
      </c>
    </row>
    <row r="162" spans="1:19">
      <c r="A162" s="10">
        <v>2014</v>
      </c>
      <c r="B162" s="11" t="s">
        <v>489</v>
      </c>
      <c r="C162" s="11" t="s">
        <v>490</v>
      </c>
      <c r="D162" s="12">
        <v>1002052</v>
      </c>
      <c r="E162" s="12">
        <v>2</v>
      </c>
      <c r="F162" s="12"/>
      <c r="G162" s="12">
        <v>320</v>
      </c>
      <c r="H162" s="12" t="s">
        <v>78</v>
      </c>
      <c r="I162" s="12" t="s">
        <v>375</v>
      </c>
      <c r="J162" s="12" t="s">
        <v>376</v>
      </c>
      <c r="K162" s="12" t="b">
        <v>1</v>
      </c>
      <c r="L162" s="12">
        <v>1</v>
      </c>
      <c r="M162" s="8">
        <v>2015</v>
      </c>
      <c r="N162" s="9">
        <v>552822</v>
      </c>
      <c r="O162" s="9">
        <v>595645.15</v>
      </c>
      <c r="P162" s="9">
        <v>0</v>
      </c>
      <c r="Q162" s="9">
        <v>0</v>
      </c>
      <c r="R162" s="13">
        <v>41717</v>
      </c>
      <c r="S162" s="13">
        <v>41717</v>
      </c>
    </row>
    <row r="163" spans="1:19">
      <c r="A163" s="10">
        <v>2014</v>
      </c>
      <c r="B163" s="11" t="s">
        <v>489</v>
      </c>
      <c r="C163" s="11" t="s">
        <v>490</v>
      </c>
      <c r="D163" s="12">
        <v>1002052</v>
      </c>
      <c r="E163" s="12">
        <v>2</v>
      </c>
      <c r="F163" s="12"/>
      <c r="G163" s="12">
        <v>230</v>
      </c>
      <c r="H163" s="12" t="s">
        <v>67</v>
      </c>
      <c r="I163" s="12"/>
      <c r="J163" s="12" t="s">
        <v>68</v>
      </c>
      <c r="K163" s="12" t="b">
        <v>0</v>
      </c>
      <c r="L163" s="12">
        <v>0</v>
      </c>
      <c r="M163" s="8">
        <v>2014</v>
      </c>
      <c r="N163" s="9">
        <v>0</v>
      </c>
      <c r="O163" s="9">
        <v>0</v>
      </c>
      <c r="P163" s="9">
        <v>0</v>
      </c>
      <c r="Q163" s="9">
        <v>247105.63</v>
      </c>
      <c r="R163" s="13">
        <v>41717</v>
      </c>
      <c r="S163" s="13">
        <v>41717</v>
      </c>
    </row>
    <row r="164" spans="1:19">
      <c r="A164" s="10">
        <v>2014</v>
      </c>
      <c r="B164" s="11" t="s">
        <v>489</v>
      </c>
      <c r="C164" s="11" t="s">
        <v>490</v>
      </c>
      <c r="D164" s="12">
        <v>1002052</v>
      </c>
      <c r="E164" s="12">
        <v>2</v>
      </c>
      <c r="F164" s="12"/>
      <c r="G164" s="12">
        <v>260</v>
      </c>
      <c r="H164" s="12">
        <v>4.3</v>
      </c>
      <c r="I164" s="12"/>
      <c r="J164" s="12" t="s">
        <v>72</v>
      </c>
      <c r="K164" s="12" t="b">
        <v>1</v>
      </c>
      <c r="L164" s="12">
        <v>0</v>
      </c>
      <c r="M164" s="8">
        <v>2014</v>
      </c>
      <c r="N164" s="9">
        <v>2417813.7400000002</v>
      </c>
      <c r="O164" s="9">
        <v>148000</v>
      </c>
      <c r="P164" s="9">
        <v>89000</v>
      </c>
      <c r="Q164" s="9">
        <v>89000</v>
      </c>
      <c r="R164" s="13">
        <v>41717</v>
      </c>
      <c r="S164" s="13">
        <v>41717</v>
      </c>
    </row>
    <row r="165" spans="1:19">
      <c r="A165" s="10">
        <v>2014</v>
      </c>
      <c r="B165" s="11" t="s">
        <v>489</v>
      </c>
      <c r="C165" s="11" t="s">
        <v>490</v>
      </c>
      <c r="D165" s="12">
        <v>1002052</v>
      </c>
      <c r="E165" s="12">
        <v>2</v>
      </c>
      <c r="F165" s="12"/>
      <c r="G165" s="12">
        <v>270</v>
      </c>
      <c r="H165" s="12" t="s">
        <v>73</v>
      </c>
      <c r="I165" s="12"/>
      <c r="J165" s="12" t="s">
        <v>71</v>
      </c>
      <c r="K165" s="12" t="b">
        <v>1</v>
      </c>
      <c r="L165" s="12">
        <v>0</v>
      </c>
      <c r="M165" s="8">
        <v>2014</v>
      </c>
      <c r="N165" s="9">
        <v>1100222.42</v>
      </c>
      <c r="O165" s="9">
        <v>0</v>
      </c>
      <c r="P165" s="9">
        <v>89000</v>
      </c>
      <c r="Q165" s="9">
        <v>89000</v>
      </c>
      <c r="R165" s="13">
        <v>41717</v>
      </c>
      <c r="S165" s="13">
        <v>41717</v>
      </c>
    </row>
    <row r="166" spans="1:19">
      <c r="A166" s="10">
        <v>2014</v>
      </c>
      <c r="B166" s="11" t="s">
        <v>489</v>
      </c>
      <c r="C166" s="11" t="s">
        <v>490</v>
      </c>
      <c r="D166" s="12">
        <v>1002052</v>
      </c>
      <c r="E166" s="12">
        <v>2</v>
      </c>
      <c r="F166" s="12"/>
      <c r="G166" s="12">
        <v>630</v>
      </c>
      <c r="H166" s="12">
        <v>11.4</v>
      </c>
      <c r="I166" s="12"/>
      <c r="J166" s="12" t="s">
        <v>94</v>
      </c>
      <c r="K166" s="12" t="b">
        <v>1</v>
      </c>
      <c r="L166" s="12">
        <v>3</v>
      </c>
      <c r="M166" s="8">
        <v>2017</v>
      </c>
      <c r="N166" s="9">
        <v>1173514.32</v>
      </c>
      <c r="O166" s="9">
        <v>835040.96</v>
      </c>
      <c r="P166" s="9">
        <v>3401517</v>
      </c>
      <c r="Q166" s="9">
        <v>3180695.36</v>
      </c>
      <c r="R166" s="13">
        <v>41717</v>
      </c>
      <c r="S166" s="13">
        <v>41717</v>
      </c>
    </row>
    <row r="167" spans="1:19">
      <c r="A167" s="10">
        <v>2014</v>
      </c>
      <c r="B167" s="11" t="s">
        <v>489</v>
      </c>
      <c r="C167" s="11" t="s">
        <v>490</v>
      </c>
      <c r="D167" s="12">
        <v>1002052</v>
      </c>
      <c r="E167" s="12">
        <v>2</v>
      </c>
      <c r="F167" s="12"/>
      <c r="G167" s="12">
        <v>210</v>
      </c>
      <c r="H167" s="12">
        <v>4</v>
      </c>
      <c r="I167" s="12" t="s">
        <v>373</v>
      </c>
      <c r="J167" s="12" t="s">
        <v>22</v>
      </c>
      <c r="K167" s="12" t="b">
        <v>0</v>
      </c>
      <c r="L167" s="12">
        <v>0</v>
      </c>
      <c r="M167" s="8">
        <v>2014</v>
      </c>
      <c r="N167" s="9">
        <v>2625223.85</v>
      </c>
      <c r="O167" s="9">
        <v>1050519.3700000001</v>
      </c>
      <c r="P167" s="9">
        <v>1850827.74</v>
      </c>
      <c r="Q167" s="9">
        <v>2496104.7400000002</v>
      </c>
      <c r="R167" s="13">
        <v>41717</v>
      </c>
      <c r="S167" s="13">
        <v>41717</v>
      </c>
    </row>
    <row r="168" spans="1:19">
      <c r="A168" s="10">
        <v>2014</v>
      </c>
      <c r="B168" s="11" t="s">
        <v>489</v>
      </c>
      <c r="C168" s="11" t="s">
        <v>490</v>
      </c>
      <c r="D168" s="12">
        <v>1002052</v>
      </c>
      <c r="E168" s="12">
        <v>2</v>
      </c>
      <c r="F168" s="12"/>
      <c r="G168" s="12">
        <v>930</v>
      </c>
      <c r="H168" s="12" t="s">
        <v>133</v>
      </c>
      <c r="I168" s="12"/>
      <c r="J168" s="12" t="s">
        <v>134</v>
      </c>
      <c r="K168" s="12" t="b">
        <v>1</v>
      </c>
      <c r="L168" s="12">
        <v>2</v>
      </c>
      <c r="M168" s="8">
        <v>2016</v>
      </c>
      <c r="N168" s="9">
        <v>0</v>
      </c>
      <c r="O168" s="9">
        <v>0</v>
      </c>
      <c r="P168" s="9">
        <v>0</v>
      </c>
      <c r="Q168" s="9">
        <v>0</v>
      </c>
      <c r="R168" s="13">
        <v>41717</v>
      </c>
      <c r="S168" s="13">
        <v>41717</v>
      </c>
    </row>
    <row r="169" spans="1:19">
      <c r="A169" s="10">
        <v>2014</v>
      </c>
      <c r="B169" s="11" t="s">
        <v>489</v>
      </c>
      <c r="C169" s="11" t="s">
        <v>490</v>
      </c>
      <c r="D169" s="12">
        <v>1002052</v>
      </c>
      <c r="E169" s="12">
        <v>2</v>
      </c>
      <c r="F169" s="12"/>
      <c r="G169" s="12">
        <v>50</v>
      </c>
      <c r="H169" s="12" t="s">
        <v>45</v>
      </c>
      <c r="I169" s="12"/>
      <c r="J169" s="12" t="s">
        <v>46</v>
      </c>
      <c r="K169" s="12" t="b">
        <v>1</v>
      </c>
      <c r="L169" s="12">
        <v>0</v>
      </c>
      <c r="M169" s="8">
        <v>2014</v>
      </c>
      <c r="N169" s="9">
        <v>3093016.26</v>
      </c>
      <c r="O169" s="9">
        <v>4719070.97</v>
      </c>
      <c r="P169" s="9">
        <v>3848642.4</v>
      </c>
      <c r="Q169" s="9">
        <v>3241540.05</v>
      </c>
      <c r="R169" s="13">
        <v>41717</v>
      </c>
      <c r="S169" s="13">
        <v>41717</v>
      </c>
    </row>
    <row r="170" spans="1:19">
      <c r="A170" s="10">
        <v>2014</v>
      </c>
      <c r="B170" s="11" t="s">
        <v>489</v>
      </c>
      <c r="C170" s="11" t="s">
        <v>490</v>
      </c>
      <c r="D170" s="12">
        <v>1002052</v>
      </c>
      <c r="E170" s="12">
        <v>2</v>
      </c>
      <c r="F170" s="12"/>
      <c r="G170" s="12">
        <v>470</v>
      </c>
      <c r="H170" s="12">
        <v>9.1</v>
      </c>
      <c r="I170" s="12" t="s">
        <v>385</v>
      </c>
      <c r="J170" s="12" t="s">
        <v>386</v>
      </c>
      <c r="K170" s="12" t="b">
        <v>1</v>
      </c>
      <c r="L170" s="12">
        <v>2</v>
      </c>
      <c r="M170" s="8">
        <v>2016</v>
      </c>
      <c r="N170" s="9">
        <v>5.45E-2</v>
      </c>
      <c r="O170" s="9">
        <v>9.6799999999999997E-2</v>
      </c>
      <c r="P170" s="9">
        <v>6.1800000000000001E-2</v>
      </c>
      <c r="Q170" s="9">
        <v>6.0900000000000003E-2</v>
      </c>
      <c r="R170" s="13">
        <v>41717</v>
      </c>
      <c r="S170" s="13">
        <v>41717</v>
      </c>
    </row>
    <row r="171" spans="1:19">
      <c r="A171" s="10">
        <v>2014</v>
      </c>
      <c r="B171" s="11" t="s">
        <v>489</v>
      </c>
      <c r="C171" s="11" t="s">
        <v>490</v>
      </c>
      <c r="D171" s="12">
        <v>1002052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124</v>
      </c>
      <c r="K171" s="12" t="b">
        <v>1</v>
      </c>
      <c r="L171" s="12">
        <v>3</v>
      </c>
      <c r="M171" s="8">
        <v>2017</v>
      </c>
      <c r="N171" s="9">
        <v>0</v>
      </c>
      <c r="O171" s="9">
        <v>0</v>
      </c>
      <c r="P171" s="9">
        <v>0</v>
      </c>
      <c r="Q171" s="9">
        <v>0</v>
      </c>
      <c r="R171" s="13">
        <v>41717</v>
      </c>
      <c r="S171" s="13">
        <v>41717</v>
      </c>
    </row>
    <row r="172" spans="1:19">
      <c r="A172" s="10">
        <v>2014</v>
      </c>
      <c r="B172" s="11" t="s">
        <v>489</v>
      </c>
      <c r="C172" s="11" t="s">
        <v>490</v>
      </c>
      <c r="D172" s="12">
        <v>1002052</v>
      </c>
      <c r="E172" s="12">
        <v>2</v>
      </c>
      <c r="F172" s="12"/>
      <c r="G172" s="12">
        <v>770</v>
      </c>
      <c r="H172" s="12" t="s">
        <v>415</v>
      </c>
      <c r="I172" s="12"/>
      <c r="J172" s="12" t="s">
        <v>406</v>
      </c>
      <c r="K172" s="12" t="b">
        <v>1</v>
      </c>
      <c r="L172" s="12">
        <v>0</v>
      </c>
      <c r="M172" s="8">
        <v>2014</v>
      </c>
      <c r="N172" s="9">
        <v>0</v>
      </c>
      <c r="O172" s="9">
        <v>0</v>
      </c>
      <c r="P172" s="9">
        <v>0</v>
      </c>
      <c r="Q172" s="9">
        <v>0</v>
      </c>
      <c r="R172" s="13">
        <v>41717</v>
      </c>
      <c r="S172" s="13">
        <v>41717</v>
      </c>
    </row>
    <row r="173" spans="1:19">
      <c r="A173" s="10">
        <v>2014</v>
      </c>
      <c r="B173" s="11" t="s">
        <v>489</v>
      </c>
      <c r="C173" s="11" t="s">
        <v>490</v>
      </c>
      <c r="D173" s="12">
        <v>1002052</v>
      </c>
      <c r="E173" s="12">
        <v>2</v>
      </c>
      <c r="F173" s="12"/>
      <c r="G173" s="12">
        <v>790</v>
      </c>
      <c r="H173" s="12">
        <v>13</v>
      </c>
      <c r="I173" s="12"/>
      <c r="J173" s="12" t="s">
        <v>118</v>
      </c>
      <c r="K173" s="12" t="b">
        <v>1</v>
      </c>
      <c r="L173" s="12">
        <v>2</v>
      </c>
      <c r="M173" s="8">
        <v>2016</v>
      </c>
      <c r="N173" s="9">
        <v>0</v>
      </c>
      <c r="O173" s="9">
        <v>0</v>
      </c>
      <c r="P173" s="9">
        <v>0</v>
      </c>
      <c r="Q173" s="9">
        <v>0</v>
      </c>
      <c r="R173" s="13">
        <v>41717</v>
      </c>
      <c r="S173" s="13">
        <v>41717</v>
      </c>
    </row>
    <row r="174" spans="1:19">
      <c r="A174" s="10">
        <v>2014</v>
      </c>
      <c r="B174" s="11" t="s">
        <v>489</v>
      </c>
      <c r="C174" s="11" t="s">
        <v>490</v>
      </c>
      <c r="D174" s="12">
        <v>1002052</v>
      </c>
      <c r="E174" s="12">
        <v>2</v>
      </c>
      <c r="F174" s="12"/>
      <c r="G174" s="12">
        <v>630</v>
      </c>
      <c r="H174" s="12">
        <v>11.4</v>
      </c>
      <c r="I174" s="12"/>
      <c r="J174" s="12" t="s">
        <v>94</v>
      </c>
      <c r="K174" s="12" t="b">
        <v>1</v>
      </c>
      <c r="L174" s="12">
        <v>2</v>
      </c>
      <c r="M174" s="8">
        <v>2016</v>
      </c>
      <c r="N174" s="9">
        <v>1173514.32</v>
      </c>
      <c r="O174" s="9">
        <v>835040.96</v>
      </c>
      <c r="P174" s="9">
        <v>3401517</v>
      </c>
      <c r="Q174" s="9">
        <v>3180695.36</v>
      </c>
      <c r="R174" s="13">
        <v>41717</v>
      </c>
      <c r="S174" s="13">
        <v>41717</v>
      </c>
    </row>
    <row r="175" spans="1:19">
      <c r="A175" s="10">
        <v>2014</v>
      </c>
      <c r="B175" s="11" t="s">
        <v>489</v>
      </c>
      <c r="C175" s="11" t="s">
        <v>490</v>
      </c>
      <c r="D175" s="12">
        <v>1002052</v>
      </c>
      <c r="E175" s="12">
        <v>2</v>
      </c>
      <c r="F175" s="12"/>
      <c r="G175" s="12">
        <v>810</v>
      </c>
      <c r="H175" s="12">
        <v>13.2</v>
      </c>
      <c r="I175" s="12"/>
      <c r="J175" s="12" t="s">
        <v>120</v>
      </c>
      <c r="K175" s="12" t="b">
        <v>1</v>
      </c>
      <c r="L175" s="12">
        <v>2</v>
      </c>
      <c r="M175" s="8">
        <v>2016</v>
      </c>
      <c r="N175" s="9">
        <v>0</v>
      </c>
      <c r="O175" s="9">
        <v>0</v>
      </c>
      <c r="P175" s="9">
        <v>0</v>
      </c>
      <c r="Q175" s="9">
        <v>0</v>
      </c>
      <c r="R175" s="13">
        <v>41717</v>
      </c>
      <c r="S175" s="13">
        <v>41717</v>
      </c>
    </row>
    <row r="176" spans="1:19">
      <c r="A176" s="10">
        <v>2014</v>
      </c>
      <c r="B176" s="11" t="s">
        <v>489</v>
      </c>
      <c r="C176" s="11" t="s">
        <v>490</v>
      </c>
      <c r="D176" s="12">
        <v>1002052</v>
      </c>
      <c r="E176" s="12">
        <v>2</v>
      </c>
      <c r="F176" s="12"/>
      <c r="G176" s="12">
        <v>508</v>
      </c>
      <c r="H176" s="12">
        <v>9.5</v>
      </c>
      <c r="I176" s="12" t="s">
        <v>392</v>
      </c>
      <c r="J176" s="12" t="s">
        <v>393</v>
      </c>
      <c r="K176" s="12" t="b">
        <v>0</v>
      </c>
      <c r="L176" s="12">
        <v>3</v>
      </c>
      <c r="M176" s="8">
        <v>2017</v>
      </c>
      <c r="N176" s="9">
        <v>9.5100000000000004E-2</v>
      </c>
      <c r="O176" s="9">
        <v>0.26129999999999998</v>
      </c>
      <c r="P176" s="9">
        <v>0.2104</v>
      </c>
      <c r="Q176" s="9">
        <v>0.20380000000000001</v>
      </c>
      <c r="R176" s="13">
        <v>41717</v>
      </c>
      <c r="S176" s="13">
        <v>41717</v>
      </c>
    </row>
    <row r="177" spans="1:19">
      <c r="A177" s="10">
        <v>2014</v>
      </c>
      <c r="B177" s="11" t="s">
        <v>489</v>
      </c>
      <c r="C177" s="11" t="s">
        <v>490</v>
      </c>
      <c r="D177" s="12">
        <v>1002052</v>
      </c>
      <c r="E177" s="12">
        <v>2</v>
      </c>
      <c r="F177" s="12"/>
      <c r="G177" s="12">
        <v>260</v>
      </c>
      <c r="H177" s="12">
        <v>4.3</v>
      </c>
      <c r="I177" s="12"/>
      <c r="J177" s="12" t="s">
        <v>72</v>
      </c>
      <c r="K177" s="12" t="b">
        <v>1</v>
      </c>
      <c r="L177" s="12">
        <v>1</v>
      </c>
      <c r="M177" s="8">
        <v>2015</v>
      </c>
      <c r="N177" s="9">
        <v>2417813.7400000002</v>
      </c>
      <c r="O177" s="9">
        <v>148000</v>
      </c>
      <c r="P177" s="9">
        <v>89000</v>
      </c>
      <c r="Q177" s="9">
        <v>89000</v>
      </c>
      <c r="R177" s="13">
        <v>41717</v>
      </c>
      <c r="S177" s="13">
        <v>41717</v>
      </c>
    </row>
    <row r="178" spans="1:19">
      <c r="A178" s="10">
        <v>2014</v>
      </c>
      <c r="B178" s="11" t="s">
        <v>489</v>
      </c>
      <c r="C178" s="11" t="s">
        <v>490</v>
      </c>
      <c r="D178" s="12">
        <v>1002052</v>
      </c>
      <c r="E178" s="12">
        <v>2</v>
      </c>
      <c r="F178" s="12"/>
      <c r="G178" s="12">
        <v>260</v>
      </c>
      <c r="H178" s="12">
        <v>4.3</v>
      </c>
      <c r="I178" s="12"/>
      <c r="J178" s="12" t="s">
        <v>72</v>
      </c>
      <c r="K178" s="12" t="b">
        <v>1</v>
      </c>
      <c r="L178" s="12">
        <v>3</v>
      </c>
      <c r="M178" s="8">
        <v>2017</v>
      </c>
      <c r="N178" s="9">
        <v>2417813.7400000002</v>
      </c>
      <c r="O178" s="9">
        <v>148000</v>
      </c>
      <c r="P178" s="9">
        <v>89000</v>
      </c>
      <c r="Q178" s="9">
        <v>89000</v>
      </c>
      <c r="R178" s="13">
        <v>41717</v>
      </c>
      <c r="S178" s="13">
        <v>41717</v>
      </c>
    </row>
    <row r="179" spans="1:19">
      <c r="A179" s="10">
        <v>2014</v>
      </c>
      <c r="B179" s="11" t="s">
        <v>489</v>
      </c>
      <c r="C179" s="11" t="s">
        <v>490</v>
      </c>
      <c r="D179" s="12">
        <v>1002052</v>
      </c>
      <c r="E179" s="12">
        <v>2</v>
      </c>
      <c r="F179" s="12"/>
      <c r="G179" s="12">
        <v>340</v>
      </c>
      <c r="H179" s="12">
        <v>5.2</v>
      </c>
      <c r="I179" s="12"/>
      <c r="J179" s="12" t="s">
        <v>80</v>
      </c>
      <c r="K179" s="12" t="b">
        <v>0</v>
      </c>
      <c r="L179" s="12">
        <v>3</v>
      </c>
      <c r="M179" s="8">
        <v>2017</v>
      </c>
      <c r="N179" s="9">
        <v>0</v>
      </c>
      <c r="O179" s="9">
        <v>24682</v>
      </c>
      <c r="P179" s="9">
        <v>0</v>
      </c>
      <c r="Q179" s="9">
        <v>0</v>
      </c>
      <c r="R179" s="13">
        <v>41717</v>
      </c>
      <c r="S179" s="13">
        <v>41717</v>
      </c>
    </row>
    <row r="180" spans="1:19">
      <c r="A180" s="10">
        <v>2014</v>
      </c>
      <c r="B180" s="11" t="s">
        <v>489</v>
      </c>
      <c r="C180" s="11" t="s">
        <v>490</v>
      </c>
      <c r="D180" s="12">
        <v>1002052</v>
      </c>
      <c r="E180" s="12">
        <v>2</v>
      </c>
      <c r="F180" s="12"/>
      <c r="G180" s="12">
        <v>770</v>
      </c>
      <c r="H180" s="12" t="s">
        <v>415</v>
      </c>
      <c r="I180" s="12"/>
      <c r="J180" s="12" t="s">
        <v>406</v>
      </c>
      <c r="K180" s="12" t="b">
        <v>1</v>
      </c>
      <c r="L180" s="12">
        <v>1</v>
      </c>
      <c r="M180" s="8">
        <v>2015</v>
      </c>
      <c r="N180" s="9">
        <v>0</v>
      </c>
      <c r="O180" s="9">
        <v>0</v>
      </c>
      <c r="P180" s="9">
        <v>0</v>
      </c>
      <c r="Q180" s="9">
        <v>0</v>
      </c>
      <c r="R180" s="13">
        <v>41717</v>
      </c>
      <c r="S180" s="13">
        <v>41717</v>
      </c>
    </row>
    <row r="181" spans="1:19">
      <c r="A181" s="10">
        <v>2014</v>
      </c>
      <c r="B181" s="11" t="s">
        <v>489</v>
      </c>
      <c r="C181" s="11" t="s">
        <v>490</v>
      </c>
      <c r="D181" s="12">
        <v>1002052</v>
      </c>
      <c r="E181" s="12">
        <v>2</v>
      </c>
      <c r="F181" s="12"/>
      <c r="G181" s="12">
        <v>182</v>
      </c>
      <c r="H181" s="12" t="s">
        <v>368</v>
      </c>
      <c r="I181" s="12"/>
      <c r="J181" s="12" t="s">
        <v>369</v>
      </c>
      <c r="K181" s="12" t="b">
        <v>0</v>
      </c>
      <c r="L181" s="12">
        <v>2</v>
      </c>
      <c r="M181" s="8">
        <v>2016</v>
      </c>
      <c r="N181" s="9">
        <v>0</v>
      </c>
      <c r="O181" s="9">
        <v>0</v>
      </c>
      <c r="P181" s="9">
        <v>0</v>
      </c>
      <c r="Q181" s="9">
        <v>0</v>
      </c>
      <c r="R181" s="13">
        <v>41717</v>
      </c>
      <c r="S181" s="13">
        <v>41717</v>
      </c>
    </row>
    <row r="182" spans="1:19">
      <c r="A182" s="10">
        <v>2014</v>
      </c>
      <c r="B182" s="11" t="s">
        <v>489</v>
      </c>
      <c r="C182" s="11" t="s">
        <v>490</v>
      </c>
      <c r="D182" s="12">
        <v>1002052</v>
      </c>
      <c r="E182" s="12">
        <v>2</v>
      </c>
      <c r="F182" s="12"/>
      <c r="G182" s="12">
        <v>860</v>
      </c>
      <c r="H182" s="12">
        <v>13.7</v>
      </c>
      <c r="I182" s="12"/>
      <c r="J182" s="12" t="s">
        <v>125</v>
      </c>
      <c r="K182" s="12" t="b">
        <v>1</v>
      </c>
      <c r="L182" s="12">
        <v>3</v>
      </c>
      <c r="M182" s="8">
        <v>2017</v>
      </c>
      <c r="N182" s="9">
        <v>0</v>
      </c>
      <c r="O182" s="9">
        <v>0</v>
      </c>
      <c r="P182" s="9">
        <v>0</v>
      </c>
      <c r="Q182" s="9">
        <v>0</v>
      </c>
      <c r="R182" s="13">
        <v>41717</v>
      </c>
      <c r="S182" s="13">
        <v>41717</v>
      </c>
    </row>
    <row r="183" spans="1:19">
      <c r="A183" s="10">
        <v>2014</v>
      </c>
      <c r="B183" s="11" t="s">
        <v>489</v>
      </c>
      <c r="C183" s="11" t="s">
        <v>490</v>
      </c>
      <c r="D183" s="12">
        <v>1002052</v>
      </c>
      <c r="E183" s="12">
        <v>2</v>
      </c>
      <c r="F183" s="12"/>
      <c r="G183" s="12">
        <v>500</v>
      </c>
      <c r="H183" s="12">
        <v>9.4</v>
      </c>
      <c r="I183" s="12" t="s">
        <v>390</v>
      </c>
      <c r="J183" s="12" t="s">
        <v>391</v>
      </c>
      <c r="K183" s="12" t="b">
        <v>0</v>
      </c>
      <c r="L183" s="12">
        <v>1</v>
      </c>
      <c r="M183" s="8">
        <v>2015</v>
      </c>
      <c r="N183" s="9">
        <v>7.4000000000000003E-3</v>
      </c>
      <c r="O183" s="9">
        <v>5.45E-2</v>
      </c>
      <c r="P183" s="9">
        <v>6.1800000000000001E-2</v>
      </c>
      <c r="Q183" s="9">
        <v>6.0900000000000003E-2</v>
      </c>
      <c r="R183" s="13">
        <v>41717</v>
      </c>
      <c r="S183" s="13">
        <v>41717</v>
      </c>
    </row>
    <row r="184" spans="1:19">
      <c r="A184" s="10">
        <v>2014</v>
      </c>
      <c r="B184" s="11" t="s">
        <v>489</v>
      </c>
      <c r="C184" s="11" t="s">
        <v>490</v>
      </c>
      <c r="D184" s="12">
        <v>1002052</v>
      </c>
      <c r="E184" s="12">
        <v>2</v>
      </c>
      <c r="F184" s="12"/>
      <c r="G184" s="12">
        <v>680</v>
      </c>
      <c r="H184" s="12" t="s">
        <v>99</v>
      </c>
      <c r="I184" s="12"/>
      <c r="J184" s="12" t="s">
        <v>100</v>
      </c>
      <c r="K184" s="12" t="b">
        <v>1</v>
      </c>
      <c r="L184" s="12">
        <v>1</v>
      </c>
      <c r="M184" s="8">
        <v>2015</v>
      </c>
      <c r="N184" s="9">
        <v>104205.75</v>
      </c>
      <c r="O184" s="9">
        <v>160689</v>
      </c>
      <c r="P184" s="9">
        <v>96205.25</v>
      </c>
      <c r="Q184" s="9">
        <v>93191.67</v>
      </c>
      <c r="R184" s="13">
        <v>41717</v>
      </c>
      <c r="S184" s="13">
        <v>41717</v>
      </c>
    </row>
    <row r="185" spans="1:19">
      <c r="A185" s="10">
        <v>2014</v>
      </c>
      <c r="B185" s="11" t="s">
        <v>489</v>
      </c>
      <c r="C185" s="11" t="s">
        <v>490</v>
      </c>
      <c r="D185" s="12">
        <v>1002052</v>
      </c>
      <c r="E185" s="12">
        <v>2</v>
      </c>
      <c r="F185" s="12"/>
      <c r="G185" s="12">
        <v>700</v>
      </c>
      <c r="H185" s="12">
        <v>12.2</v>
      </c>
      <c r="I185" s="12"/>
      <c r="J185" s="12" t="s">
        <v>103</v>
      </c>
      <c r="K185" s="12" t="b">
        <v>0</v>
      </c>
      <c r="L185" s="12">
        <v>0</v>
      </c>
      <c r="M185" s="8">
        <v>2014</v>
      </c>
      <c r="N185" s="9">
        <v>1041937.3</v>
      </c>
      <c r="O185" s="9">
        <v>1013324.7</v>
      </c>
      <c r="P185" s="9">
        <v>421154</v>
      </c>
      <c r="Q185" s="9">
        <v>478204.67</v>
      </c>
      <c r="R185" s="13">
        <v>41717</v>
      </c>
      <c r="S185" s="13">
        <v>41717</v>
      </c>
    </row>
    <row r="186" spans="1:19">
      <c r="A186" s="10">
        <v>2014</v>
      </c>
      <c r="B186" s="11" t="s">
        <v>489</v>
      </c>
      <c r="C186" s="11" t="s">
        <v>490</v>
      </c>
      <c r="D186" s="12">
        <v>1002052</v>
      </c>
      <c r="E186" s="12">
        <v>2</v>
      </c>
      <c r="F186" s="12"/>
      <c r="G186" s="12">
        <v>270</v>
      </c>
      <c r="H186" s="12" t="s">
        <v>73</v>
      </c>
      <c r="I186" s="12"/>
      <c r="J186" s="12" t="s">
        <v>71</v>
      </c>
      <c r="K186" s="12" t="b">
        <v>1</v>
      </c>
      <c r="L186" s="12">
        <v>2</v>
      </c>
      <c r="M186" s="8">
        <v>2016</v>
      </c>
      <c r="N186" s="9">
        <v>1100222.42</v>
      </c>
      <c r="O186" s="9">
        <v>0</v>
      </c>
      <c r="P186" s="9">
        <v>89000</v>
      </c>
      <c r="Q186" s="9">
        <v>89000</v>
      </c>
      <c r="R186" s="13">
        <v>41717</v>
      </c>
      <c r="S186" s="13">
        <v>41717</v>
      </c>
    </row>
    <row r="187" spans="1:19">
      <c r="A187" s="10">
        <v>2014</v>
      </c>
      <c r="B187" s="11" t="s">
        <v>489</v>
      </c>
      <c r="C187" s="11" t="s">
        <v>490</v>
      </c>
      <c r="D187" s="12">
        <v>1002052</v>
      </c>
      <c r="E187" s="12">
        <v>2</v>
      </c>
      <c r="F187" s="12"/>
      <c r="G187" s="12">
        <v>110</v>
      </c>
      <c r="H187" s="12" t="s">
        <v>56</v>
      </c>
      <c r="I187" s="12"/>
      <c r="J187" s="12" t="s">
        <v>57</v>
      </c>
      <c r="K187" s="12" t="b">
        <v>1</v>
      </c>
      <c r="L187" s="12">
        <v>0</v>
      </c>
      <c r="M187" s="8">
        <v>2014</v>
      </c>
      <c r="N187" s="9">
        <v>1405937.3</v>
      </c>
      <c r="O187" s="9">
        <v>1332324.7</v>
      </c>
      <c r="P187" s="9">
        <v>664102</v>
      </c>
      <c r="Q187" s="9">
        <v>720552.67</v>
      </c>
      <c r="R187" s="13">
        <v>41717</v>
      </c>
      <c r="S187" s="13">
        <v>41717</v>
      </c>
    </row>
    <row r="188" spans="1:19">
      <c r="A188" s="10">
        <v>2014</v>
      </c>
      <c r="B188" s="11" t="s">
        <v>489</v>
      </c>
      <c r="C188" s="11" t="s">
        <v>490</v>
      </c>
      <c r="D188" s="12">
        <v>1002052</v>
      </c>
      <c r="E188" s="12">
        <v>2</v>
      </c>
      <c r="F188" s="12"/>
      <c r="G188" s="12">
        <v>40</v>
      </c>
      <c r="H188" s="12" t="s">
        <v>43</v>
      </c>
      <c r="I188" s="12"/>
      <c r="J188" s="12" t="s">
        <v>44</v>
      </c>
      <c r="K188" s="12" t="b">
        <v>1</v>
      </c>
      <c r="L188" s="12">
        <v>0</v>
      </c>
      <c r="M188" s="8">
        <v>2014</v>
      </c>
      <c r="N188" s="9">
        <v>7359.96</v>
      </c>
      <c r="O188" s="9">
        <v>873.76</v>
      </c>
      <c r="P188" s="9">
        <v>1000</v>
      </c>
      <c r="Q188" s="9">
        <v>654.23</v>
      </c>
      <c r="R188" s="13">
        <v>41717</v>
      </c>
      <c r="S188" s="13">
        <v>41717</v>
      </c>
    </row>
    <row r="189" spans="1:19">
      <c r="A189" s="10">
        <v>2014</v>
      </c>
      <c r="B189" s="11" t="s">
        <v>489</v>
      </c>
      <c r="C189" s="11" t="s">
        <v>490</v>
      </c>
      <c r="D189" s="12">
        <v>1002052</v>
      </c>
      <c r="E189" s="12">
        <v>2</v>
      </c>
      <c r="F189" s="12"/>
      <c r="G189" s="12">
        <v>220</v>
      </c>
      <c r="H189" s="12">
        <v>4.0999999999999996</v>
      </c>
      <c r="I189" s="12"/>
      <c r="J189" s="12" t="s">
        <v>66</v>
      </c>
      <c r="K189" s="12" t="b">
        <v>0</v>
      </c>
      <c r="L189" s="12">
        <v>0</v>
      </c>
      <c r="M189" s="8">
        <v>2014</v>
      </c>
      <c r="N189" s="9">
        <v>0</v>
      </c>
      <c r="O189" s="9">
        <v>0</v>
      </c>
      <c r="P189" s="9">
        <v>314668.09000000003</v>
      </c>
      <c r="Q189" s="9">
        <v>959945.09</v>
      </c>
      <c r="R189" s="13">
        <v>41717</v>
      </c>
      <c r="S189" s="13">
        <v>41717</v>
      </c>
    </row>
    <row r="190" spans="1:19">
      <c r="A190" s="10">
        <v>2014</v>
      </c>
      <c r="B190" s="11" t="s">
        <v>489</v>
      </c>
      <c r="C190" s="11" t="s">
        <v>490</v>
      </c>
      <c r="D190" s="12">
        <v>1002052</v>
      </c>
      <c r="E190" s="12">
        <v>2</v>
      </c>
      <c r="F190" s="12"/>
      <c r="G190" s="12">
        <v>870</v>
      </c>
      <c r="H190" s="12">
        <v>14</v>
      </c>
      <c r="I190" s="12"/>
      <c r="J190" s="12" t="s">
        <v>126</v>
      </c>
      <c r="K190" s="12" t="b">
        <v>1</v>
      </c>
      <c r="L190" s="12">
        <v>0</v>
      </c>
      <c r="M190" s="8">
        <v>2014</v>
      </c>
      <c r="N190" s="9">
        <v>0</v>
      </c>
      <c r="O190" s="9">
        <v>0</v>
      </c>
      <c r="P190" s="9">
        <v>0</v>
      </c>
      <c r="Q190" s="9">
        <v>0</v>
      </c>
      <c r="R190" s="13">
        <v>41717</v>
      </c>
      <c r="S190" s="13">
        <v>41717</v>
      </c>
    </row>
    <row r="191" spans="1:19">
      <c r="A191" s="10">
        <v>2014</v>
      </c>
      <c r="B191" s="11" t="s">
        <v>489</v>
      </c>
      <c r="C191" s="11" t="s">
        <v>490</v>
      </c>
      <c r="D191" s="12">
        <v>1002052</v>
      </c>
      <c r="E191" s="12">
        <v>2</v>
      </c>
      <c r="F191" s="12"/>
      <c r="G191" s="12">
        <v>640</v>
      </c>
      <c r="H191" s="12">
        <v>11.5</v>
      </c>
      <c r="I191" s="12"/>
      <c r="J191" s="12" t="s">
        <v>95</v>
      </c>
      <c r="K191" s="12" t="b">
        <v>1</v>
      </c>
      <c r="L191" s="12">
        <v>0</v>
      </c>
      <c r="M191" s="8">
        <v>2014</v>
      </c>
      <c r="N191" s="9">
        <v>2450536</v>
      </c>
      <c r="O191" s="9">
        <v>1590835.04</v>
      </c>
      <c r="P191" s="9">
        <v>1184859</v>
      </c>
      <c r="Q191" s="9">
        <v>1184793.3400000001</v>
      </c>
      <c r="R191" s="13">
        <v>41717</v>
      </c>
      <c r="S191" s="13">
        <v>41717</v>
      </c>
    </row>
    <row r="192" spans="1:19">
      <c r="A192" s="10">
        <v>2014</v>
      </c>
      <c r="B192" s="11" t="s">
        <v>489</v>
      </c>
      <c r="C192" s="11" t="s">
        <v>490</v>
      </c>
      <c r="D192" s="12">
        <v>1002052</v>
      </c>
      <c r="E192" s="12">
        <v>2</v>
      </c>
      <c r="F192" s="12"/>
      <c r="G192" s="12">
        <v>160</v>
      </c>
      <c r="H192" s="12" t="s">
        <v>62</v>
      </c>
      <c r="I192" s="12"/>
      <c r="J192" s="12" t="s">
        <v>365</v>
      </c>
      <c r="K192" s="12" t="b">
        <v>1</v>
      </c>
      <c r="L192" s="12">
        <v>1</v>
      </c>
      <c r="M192" s="8">
        <v>2015</v>
      </c>
      <c r="N192" s="9">
        <v>0</v>
      </c>
      <c r="O192" s="9">
        <v>0</v>
      </c>
      <c r="P192" s="9">
        <v>0</v>
      </c>
      <c r="Q192" s="9">
        <v>0</v>
      </c>
      <c r="R192" s="13">
        <v>41717</v>
      </c>
      <c r="S192" s="13">
        <v>41717</v>
      </c>
    </row>
    <row r="193" spans="1:19">
      <c r="A193" s="10">
        <v>2014</v>
      </c>
      <c r="B193" s="11" t="s">
        <v>489</v>
      </c>
      <c r="C193" s="11" t="s">
        <v>490</v>
      </c>
      <c r="D193" s="12">
        <v>1002052</v>
      </c>
      <c r="E193" s="12">
        <v>2</v>
      </c>
      <c r="F193" s="12"/>
      <c r="G193" s="12">
        <v>920</v>
      </c>
      <c r="H193" s="12" t="s">
        <v>132</v>
      </c>
      <c r="I193" s="12"/>
      <c r="J193" s="12" t="s">
        <v>416</v>
      </c>
      <c r="K193" s="12" t="b">
        <v>1</v>
      </c>
      <c r="L193" s="12">
        <v>3</v>
      </c>
      <c r="M193" s="8">
        <v>2017</v>
      </c>
      <c r="N193" s="9">
        <v>0</v>
      </c>
      <c r="O193" s="9">
        <v>0</v>
      </c>
      <c r="P193" s="9">
        <v>0</v>
      </c>
      <c r="Q193" s="9">
        <v>0</v>
      </c>
      <c r="R193" s="13">
        <v>41717</v>
      </c>
      <c r="S193" s="13">
        <v>41717</v>
      </c>
    </row>
    <row r="194" spans="1:19">
      <c r="A194" s="10">
        <v>2014</v>
      </c>
      <c r="B194" s="11" t="s">
        <v>489</v>
      </c>
      <c r="C194" s="11" t="s">
        <v>490</v>
      </c>
      <c r="D194" s="12">
        <v>1002052</v>
      </c>
      <c r="E194" s="12">
        <v>2</v>
      </c>
      <c r="F194" s="12"/>
      <c r="G194" s="12">
        <v>762</v>
      </c>
      <c r="H194" s="12" t="s">
        <v>116</v>
      </c>
      <c r="I194" s="12"/>
      <c r="J194" s="12" t="s">
        <v>117</v>
      </c>
      <c r="K194" s="12" t="b">
        <v>1</v>
      </c>
      <c r="L194" s="12">
        <v>1</v>
      </c>
      <c r="M194" s="8">
        <v>2015</v>
      </c>
      <c r="N194" s="9">
        <v>0</v>
      </c>
      <c r="O194" s="9">
        <v>0</v>
      </c>
      <c r="P194" s="9">
        <v>1590835.04</v>
      </c>
      <c r="Q194" s="9">
        <v>2074095.36</v>
      </c>
      <c r="R194" s="13">
        <v>41717</v>
      </c>
      <c r="S194" s="13">
        <v>41717</v>
      </c>
    </row>
    <row r="195" spans="1:19">
      <c r="A195" s="10">
        <v>2014</v>
      </c>
      <c r="B195" s="11" t="s">
        <v>489</v>
      </c>
      <c r="C195" s="11" t="s">
        <v>490</v>
      </c>
      <c r="D195" s="12">
        <v>1002052</v>
      </c>
      <c r="E195" s="12">
        <v>2</v>
      </c>
      <c r="F195" s="12"/>
      <c r="G195" s="12">
        <v>762</v>
      </c>
      <c r="H195" s="12" t="s">
        <v>116</v>
      </c>
      <c r="I195" s="12"/>
      <c r="J195" s="12" t="s">
        <v>117</v>
      </c>
      <c r="K195" s="12" t="b">
        <v>1</v>
      </c>
      <c r="L195" s="12">
        <v>3</v>
      </c>
      <c r="M195" s="8">
        <v>2017</v>
      </c>
      <c r="N195" s="9">
        <v>0</v>
      </c>
      <c r="O195" s="9">
        <v>0</v>
      </c>
      <c r="P195" s="9">
        <v>1590835.04</v>
      </c>
      <c r="Q195" s="9">
        <v>2074095.36</v>
      </c>
      <c r="R195" s="13">
        <v>41717</v>
      </c>
      <c r="S195" s="13">
        <v>41717</v>
      </c>
    </row>
    <row r="196" spans="1:19">
      <c r="A196" s="10">
        <v>2014</v>
      </c>
      <c r="B196" s="11" t="s">
        <v>489</v>
      </c>
      <c r="C196" s="11" t="s">
        <v>490</v>
      </c>
      <c r="D196" s="12">
        <v>1002052</v>
      </c>
      <c r="E196" s="12">
        <v>2</v>
      </c>
      <c r="F196" s="12"/>
      <c r="G196" s="12">
        <v>420</v>
      </c>
      <c r="H196" s="12">
        <v>8.1</v>
      </c>
      <c r="I196" s="12" t="s">
        <v>382</v>
      </c>
      <c r="J196" s="12" t="s">
        <v>82</v>
      </c>
      <c r="K196" s="12" t="b">
        <v>0</v>
      </c>
      <c r="L196" s="12">
        <v>3</v>
      </c>
      <c r="M196" s="8">
        <v>2017</v>
      </c>
      <c r="N196" s="9">
        <v>975297.61</v>
      </c>
      <c r="O196" s="9">
        <v>3604694.11</v>
      </c>
      <c r="P196" s="9">
        <v>2504739.7200000002</v>
      </c>
      <c r="Q196" s="9">
        <v>2583957.89</v>
      </c>
      <c r="R196" s="13">
        <v>41717</v>
      </c>
      <c r="S196" s="13">
        <v>41717</v>
      </c>
    </row>
    <row r="197" spans="1:19">
      <c r="A197" s="10">
        <v>2014</v>
      </c>
      <c r="B197" s="11" t="s">
        <v>489</v>
      </c>
      <c r="C197" s="11" t="s">
        <v>490</v>
      </c>
      <c r="D197" s="12">
        <v>1002052</v>
      </c>
      <c r="E197" s="12">
        <v>2</v>
      </c>
      <c r="F197" s="12"/>
      <c r="G197" s="12">
        <v>400</v>
      </c>
      <c r="H197" s="12">
        <v>7</v>
      </c>
      <c r="I197" s="12"/>
      <c r="J197" s="12" t="s">
        <v>81</v>
      </c>
      <c r="K197" s="12" t="b">
        <v>1</v>
      </c>
      <c r="L197" s="12">
        <v>2</v>
      </c>
      <c r="M197" s="8">
        <v>2016</v>
      </c>
      <c r="N197" s="9">
        <v>0</v>
      </c>
      <c r="O197" s="9">
        <v>0</v>
      </c>
      <c r="P197" s="9">
        <v>0</v>
      </c>
      <c r="Q197" s="9">
        <v>0</v>
      </c>
      <c r="R197" s="13">
        <v>41717</v>
      </c>
      <c r="S197" s="13">
        <v>41717</v>
      </c>
    </row>
    <row r="198" spans="1:19">
      <c r="A198" s="10">
        <v>2014</v>
      </c>
      <c r="B198" s="11" t="s">
        <v>489</v>
      </c>
      <c r="C198" s="11" t="s">
        <v>490</v>
      </c>
      <c r="D198" s="12">
        <v>1002052</v>
      </c>
      <c r="E198" s="12">
        <v>2</v>
      </c>
      <c r="F198" s="12"/>
      <c r="G198" s="12">
        <v>100</v>
      </c>
      <c r="H198" s="12" t="s">
        <v>54</v>
      </c>
      <c r="I198" s="12"/>
      <c r="J198" s="12" t="s">
        <v>55</v>
      </c>
      <c r="K198" s="12" t="b">
        <v>1</v>
      </c>
      <c r="L198" s="12">
        <v>0</v>
      </c>
      <c r="M198" s="8">
        <v>2014</v>
      </c>
      <c r="N198" s="9">
        <v>140492.99</v>
      </c>
      <c r="O198" s="9">
        <v>69038.91</v>
      </c>
      <c r="P198" s="9">
        <v>330000</v>
      </c>
      <c r="Q198" s="9">
        <v>6200</v>
      </c>
      <c r="R198" s="13">
        <v>41717</v>
      </c>
      <c r="S198" s="13">
        <v>41717</v>
      </c>
    </row>
    <row r="199" spans="1:19">
      <c r="A199" s="10">
        <v>2014</v>
      </c>
      <c r="B199" s="11" t="s">
        <v>489</v>
      </c>
      <c r="C199" s="11" t="s">
        <v>490</v>
      </c>
      <c r="D199" s="12">
        <v>1002052</v>
      </c>
      <c r="E199" s="12">
        <v>2</v>
      </c>
      <c r="F199" s="12"/>
      <c r="G199" s="12">
        <v>440</v>
      </c>
      <c r="H199" s="12">
        <v>9</v>
      </c>
      <c r="I199" s="12"/>
      <c r="J199" s="12" t="s">
        <v>149</v>
      </c>
      <c r="K199" s="12" t="b">
        <v>0</v>
      </c>
      <c r="L199" s="12">
        <v>3</v>
      </c>
      <c r="M199" s="8">
        <v>2017</v>
      </c>
      <c r="N199" s="9">
        <v>0</v>
      </c>
      <c r="O199" s="9">
        <v>0</v>
      </c>
      <c r="P199" s="9">
        <v>0</v>
      </c>
      <c r="Q199" s="9">
        <v>0</v>
      </c>
      <c r="R199" s="13">
        <v>41717</v>
      </c>
      <c r="S199" s="13">
        <v>41717</v>
      </c>
    </row>
    <row r="200" spans="1:19">
      <c r="A200" s="10">
        <v>2014</v>
      </c>
      <c r="B200" s="11" t="s">
        <v>489</v>
      </c>
      <c r="C200" s="11" t="s">
        <v>490</v>
      </c>
      <c r="D200" s="12">
        <v>1002052</v>
      </c>
      <c r="E200" s="12">
        <v>2</v>
      </c>
      <c r="F200" s="12"/>
      <c r="G200" s="12">
        <v>940</v>
      </c>
      <c r="H200" s="12">
        <v>14.4</v>
      </c>
      <c r="I200" s="12"/>
      <c r="J200" s="12" t="s">
        <v>135</v>
      </c>
      <c r="K200" s="12" t="b">
        <v>1</v>
      </c>
      <c r="L200" s="12">
        <v>1</v>
      </c>
      <c r="M200" s="8">
        <v>2015</v>
      </c>
      <c r="N200" s="9">
        <v>0</v>
      </c>
      <c r="O200" s="9">
        <v>0</v>
      </c>
      <c r="P200" s="9">
        <v>0</v>
      </c>
      <c r="Q200" s="9">
        <v>0</v>
      </c>
      <c r="R200" s="13">
        <v>41717</v>
      </c>
      <c r="S200" s="13">
        <v>41717</v>
      </c>
    </row>
    <row r="201" spans="1:19">
      <c r="A201" s="10">
        <v>2014</v>
      </c>
      <c r="B201" s="11" t="s">
        <v>489</v>
      </c>
      <c r="C201" s="11" t="s">
        <v>490</v>
      </c>
      <c r="D201" s="12">
        <v>1002052</v>
      </c>
      <c r="E201" s="12">
        <v>2</v>
      </c>
      <c r="F201" s="12"/>
      <c r="G201" s="12">
        <v>810</v>
      </c>
      <c r="H201" s="12">
        <v>13.2</v>
      </c>
      <c r="I201" s="12"/>
      <c r="J201" s="12" t="s">
        <v>120</v>
      </c>
      <c r="K201" s="12" t="b">
        <v>1</v>
      </c>
      <c r="L201" s="12">
        <v>0</v>
      </c>
      <c r="M201" s="8">
        <v>2014</v>
      </c>
      <c r="N201" s="9">
        <v>0</v>
      </c>
      <c r="O201" s="9">
        <v>0</v>
      </c>
      <c r="P201" s="9">
        <v>0</v>
      </c>
      <c r="Q201" s="9">
        <v>0</v>
      </c>
      <c r="R201" s="13">
        <v>41717</v>
      </c>
      <c r="S201" s="13">
        <v>41717</v>
      </c>
    </row>
    <row r="202" spans="1:19">
      <c r="A202" s="10">
        <v>2014</v>
      </c>
      <c r="B202" s="11" t="s">
        <v>489</v>
      </c>
      <c r="C202" s="11" t="s">
        <v>490</v>
      </c>
      <c r="D202" s="12">
        <v>1002052</v>
      </c>
      <c r="E202" s="12">
        <v>2</v>
      </c>
      <c r="F202" s="12"/>
      <c r="G202" s="12">
        <v>440</v>
      </c>
      <c r="H202" s="12">
        <v>9</v>
      </c>
      <c r="I202" s="12"/>
      <c r="J202" s="12" t="s">
        <v>149</v>
      </c>
      <c r="K202" s="12" t="b">
        <v>0</v>
      </c>
      <c r="L202" s="12">
        <v>1</v>
      </c>
      <c r="M202" s="8">
        <v>2015</v>
      </c>
      <c r="N202" s="9">
        <v>0</v>
      </c>
      <c r="O202" s="9">
        <v>0</v>
      </c>
      <c r="P202" s="9">
        <v>0</v>
      </c>
      <c r="Q202" s="9">
        <v>0</v>
      </c>
      <c r="R202" s="13">
        <v>41717</v>
      </c>
      <c r="S202" s="13">
        <v>41717</v>
      </c>
    </row>
    <row r="203" spans="1:19">
      <c r="A203" s="10">
        <v>2014</v>
      </c>
      <c r="B203" s="11" t="s">
        <v>489</v>
      </c>
      <c r="C203" s="11" t="s">
        <v>490</v>
      </c>
      <c r="D203" s="12">
        <v>1002052</v>
      </c>
      <c r="E203" s="12">
        <v>2</v>
      </c>
      <c r="F203" s="12"/>
      <c r="G203" s="12">
        <v>200</v>
      </c>
      <c r="H203" s="12">
        <v>3</v>
      </c>
      <c r="I203" s="12" t="s">
        <v>372</v>
      </c>
      <c r="J203" s="12" t="s">
        <v>21</v>
      </c>
      <c r="K203" s="12" t="b">
        <v>0</v>
      </c>
      <c r="L203" s="12">
        <v>2</v>
      </c>
      <c r="M203" s="8">
        <v>2016</v>
      </c>
      <c r="N203" s="9">
        <v>-1100222.42</v>
      </c>
      <c r="O203" s="9">
        <v>2580481.7200000002</v>
      </c>
      <c r="P203" s="9">
        <v>-1113306.28</v>
      </c>
      <c r="Q203" s="9">
        <v>-1069250.1399999999</v>
      </c>
      <c r="R203" s="13">
        <v>41717</v>
      </c>
      <c r="S203" s="13">
        <v>41717</v>
      </c>
    </row>
    <row r="204" spans="1:19">
      <c r="A204" s="10">
        <v>2014</v>
      </c>
      <c r="B204" s="11" t="s">
        <v>489</v>
      </c>
      <c r="C204" s="11" t="s">
        <v>490</v>
      </c>
      <c r="D204" s="12">
        <v>1002052</v>
      </c>
      <c r="E204" s="12">
        <v>2</v>
      </c>
      <c r="F204" s="12"/>
      <c r="G204" s="12">
        <v>310</v>
      </c>
      <c r="H204" s="12">
        <v>5.0999999999999996</v>
      </c>
      <c r="I204" s="12"/>
      <c r="J204" s="12" t="s">
        <v>77</v>
      </c>
      <c r="K204" s="12" t="b">
        <v>1</v>
      </c>
      <c r="L204" s="12">
        <v>1</v>
      </c>
      <c r="M204" s="8">
        <v>2015</v>
      </c>
      <c r="N204" s="9">
        <v>601088.34</v>
      </c>
      <c r="O204" s="9">
        <v>1278520.75</v>
      </c>
      <c r="P204" s="9">
        <v>737521.46</v>
      </c>
      <c r="Q204" s="9">
        <v>737521.46</v>
      </c>
      <c r="R204" s="13">
        <v>41717</v>
      </c>
      <c r="S204" s="13">
        <v>41717</v>
      </c>
    </row>
    <row r="205" spans="1:19">
      <c r="A205" s="10">
        <v>2014</v>
      </c>
      <c r="B205" s="11" t="s">
        <v>489</v>
      </c>
      <c r="C205" s="11" t="s">
        <v>490</v>
      </c>
      <c r="D205" s="12">
        <v>1002052</v>
      </c>
      <c r="E205" s="12">
        <v>2</v>
      </c>
      <c r="F205" s="12"/>
      <c r="G205" s="12">
        <v>430</v>
      </c>
      <c r="H205" s="12">
        <v>8.1999999999999993</v>
      </c>
      <c r="I205" s="12" t="s">
        <v>383</v>
      </c>
      <c r="J205" s="12" t="s">
        <v>384</v>
      </c>
      <c r="K205" s="12" t="b">
        <v>0</v>
      </c>
      <c r="L205" s="12">
        <v>1</v>
      </c>
      <c r="M205" s="8">
        <v>2015</v>
      </c>
      <c r="N205" s="9">
        <v>1161314</v>
      </c>
      <c r="O205" s="9">
        <v>4507213.4800000004</v>
      </c>
      <c r="P205" s="9">
        <v>4241885.46</v>
      </c>
      <c r="Q205" s="9">
        <v>4966380.63</v>
      </c>
      <c r="R205" s="13">
        <v>41717</v>
      </c>
      <c r="S205" s="13">
        <v>41717</v>
      </c>
    </row>
    <row r="206" spans="1:19">
      <c r="A206" s="10">
        <v>2014</v>
      </c>
      <c r="B206" s="11" t="s">
        <v>489</v>
      </c>
      <c r="C206" s="11" t="s">
        <v>490</v>
      </c>
      <c r="D206" s="12">
        <v>1002052</v>
      </c>
      <c r="E206" s="12">
        <v>2</v>
      </c>
      <c r="F206" s="12"/>
      <c r="G206" s="12">
        <v>70</v>
      </c>
      <c r="H206" s="12" t="s">
        <v>49</v>
      </c>
      <c r="I206" s="12"/>
      <c r="J206" s="12" t="s">
        <v>50</v>
      </c>
      <c r="K206" s="12" t="b">
        <v>1</v>
      </c>
      <c r="L206" s="12">
        <v>3</v>
      </c>
      <c r="M206" s="8">
        <v>2017</v>
      </c>
      <c r="N206" s="9">
        <v>4037554</v>
      </c>
      <c r="O206" s="9">
        <v>4481337</v>
      </c>
      <c r="P206" s="9">
        <v>4504728</v>
      </c>
      <c r="Q206" s="9">
        <v>4504728</v>
      </c>
      <c r="R206" s="13">
        <v>41717</v>
      </c>
      <c r="S206" s="13">
        <v>41717</v>
      </c>
    </row>
    <row r="207" spans="1:19">
      <c r="A207" s="10">
        <v>2014</v>
      </c>
      <c r="B207" s="11" t="s">
        <v>489</v>
      </c>
      <c r="C207" s="11" t="s">
        <v>490</v>
      </c>
      <c r="D207" s="12">
        <v>1002052</v>
      </c>
      <c r="E207" s="12">
        <v>2</v>
      </c>
      <c r="F207" s="12"/>
      <c r="G207" s="12">
        <v>860</v>
      </c>
      <c r="H207" s="12">
        <v>13.7</v>
      </c>
      <c r="I207" s="12"/>
      <c r="J207" s="12" t="s">
        <v>125</v>
      </c>
      <c r="K207" s="12" t="b">
        <v>1</v>
      </c>
      <c r="L207" s="12">
        <v>2</v>
      </c>
      <c r="M207" s="8">
        <v>2016</v>
      </c>
      <c r="N207" s="9">
        <v>0</v>
      </c>
      <c r="O207" s="9">
        <v>0</v>
      </c>
      <c r="P207" s="9">
        <v>0</v>
      </c>
      <c r="Q207" s="9">
        <v>0</v>
      </c>
      <c r="R207" s="13">
        <v>41717</v>
      </c>
      <c r="S207" s="13">
        <v>41717</v>
      </c>
    </row>
    <row r="208" spans="1:19">
      <c r="A208" s="10">
        <v>2014</v>
      </c>
      <c r="B208" s="11" t="s">
        <v>489</v>
      </c>
      <c r="C208" s="11" t="s">
        <v>490</v>
      </c>
      <c r="D208" s="12">
        <v>1002052</v>
      </c>
      <c r="E208" s="12">
        <v>2</v>
      </c>
      <c r="F208" s="12"/>
      <c r="G208" s="12">
        <v>400</v>
      </c>
      <c r="H208" s="12">
        <v>7</v>
      </c>
      <c r="I208" s="12"/>
      <c r="J208" s="12" t="s">
        <v>81</v>
      </c>
      <c r="K208" s="12" t="b">
        <v>1</v>
      </c>
      <c r="L208" s="12">
        <v>1</v>
      </c>
      <c r="M208" s="8">
        <v>2015</v>
      </c>
      <c r="N208" s="9">
        <v>0</v>
      </c>
      <c r="O208" s="9">
        <v>0</v>
      </c>
      <c r="P208" s="9">
        <v>0</v>
      </c>
      <c r="Q208" s="9">
        <v>0</v>
      </c>
      <c r="R208" s="13">
        <v>41717</v>
      </c>
      <c r="S208" s="13">
        <v>41717</v>
      </c>
    </row>
    <row r="209" spans="1:19">
      <c r="A209" s="10">
        <v>2014</v>
      </c>
      <c r="B209" s="11" t="s">
        <v>489</v>
      </c>
      <c r="C209" s="11" t="s">
        <v>490</v>
      </c>
      <c r="D209" s="12">
        <v>1002052</v>
      </c>
      <c r="E209" s="12">
        <v>2</v>
      </c>
      <c r="F209" s="12"/>
      <c r="G209" s="12">
        <v>508</v>
      </c>
      <c r="H209" s="12">
        <v>9.5</v>
      </c>
      <c r="I209" s="12" t="s">
        <v>392</v>
      </c>
      <c r="J209" s="12" t="s">
        <v>393</v>
      </c>
      <c r="K209" s="12" t="b">
        <v>0</v>
      </c>
      <c r="L209" s="12">
        <v>1</v>
      </c>
      <c r="M209" s="8">
        <v>2015</v>
      </c>
      <c r="N209" s="9">
        <v>9.5100000000000004E-2</v>
      </c>
      <c r="O209" s="9">
        <v>0.26129999999999998</v>
      </c>
      <c r="P209" s="9">
        <v>0.2104</v>
      </c>
      <c r="Q209" s="9">
        <v>0.20380000000000001</v>
      </c>
      <c r="R209" s="13">
        <v>41717</v>
      </c>
      <c r="S209" s="13">
        <v>41717</v>
      </c>
    </row>
    <row r="210" spans="1:19">
      <c r="A210" s="10">
        <v>2014</v>
      </c>
      <c r="B210" s="11" t="s">
        <v>489</v>
      </c>
      <c r="C210" s="11" t="s">
        <v>490</v>
      </c>
      <c r="D210" s="12">
        <v>1002052</v>
      </c>
      <c r="E210" s="12">
        <v>2</v>
      </c>
      <c r="F210" s="12"/>
      <c r="G210" s="12">
        <v>350</v>
      </c>
      <c r="H210" s="12">
        <v>6</v>
      </c>
      <c r="I210" s="12"/>
      <c r="J210" s="12" t="s">
        <v>25</v>
      </c>
      <c r="K210" s="12" t="b">
        <v>1</v>
      </c>
      <c r="L210" s="12">
        <v>0</v>
      </c>
      <c r="M210" s="8">
        <v>2014</v>
      </c>
      <c r="N210" s="9">
        <v>2552998.4</v>
      </c>
      <c r="O210" s="9">
        <v>1422477.65</v>
      </c>
      <c r="P210" s="9">
        <v>773956.19</v>
      </c>
      <c r="Q210" s="9">
        <v>773956.19</v>
      </c>
      <c r="R210" s="13">
        <v>41717</v>
      </c>
      <c r="S210" s="13">
        <v>41717</v>
      </c>
    </row>
    <row r="211" spans="1:19">
      <c r="A211" s="10">
        <v>2014</v>
      </c>
      <c r="B211" s="11" t="s">
        <v>489</v>
      </c>
      <c r="C211" s="11" t="s">
        <v>490</v>
      </c>
      <c r="D211" s="12">
        <v>1002052</v>
      </c>
      <c r="E211" s="12">
        <v>2</v>
      </c>
      <c r="F211" s="12"/>
      <c r="G211" s="12">
        <v>490</v>
      </c>
      <c r="H211" s="12">
        <v>9.3000000000000007</v>
      </c>
      <c r="I211" s="12"/>
      <c r="J211" s="12" t="s">
        <v>389</v>
      </c>
      <c r="K211" s="12" t="b">
        <v>1</v>
      </c>
      <c r="L211" s="12">
        <v>3</v>
      </c>
      <c r="M211" s="8">
        <v>2017</v>
      </c>
      <c r="N211" s="9">
        <v>0</v>
      </c>
      <c r="O211" s="9">
        <v>0</v>
      </c>
      <c r="P211" s="9">
        <v>0</v>
      </c>
      <c r="Q211" s="9">
        <v>0</v>
      </c>
      <c r="R211" s="13">
        <v>41717</v>
      </c>
      <c r="S211" s="13">
        <v>41717</v>
      </c>
    </row>
    <row r="212" spans="1:19">
      <c r="A212" s="10">
        <v>2014</v>
      </c>
      <c r="B212" s="11" t="s">
        <v>489</v>
      </c>
      <c r="C212" s="11" t="s">
        <v>490</v>
      </c>
      <c r="D212" s="12">
        <v>1002052</v>
      </c>
      <c r="E212" s="12">
        <v>2</v>
      </c>
      <c r="F212" s="12"/>
      <c r="G212" s="12">
        <v>334</v>
      </c>
      <c r="H212" s="12" t="s">
        <v>378</v>
      </c>
      <c r="I212" s="12"/>
      <c r="J212" s="12" t="s">
        <v>379</v>
      </c>
      <c r="K212" s="12" t="b">
        <v>1</v>
      </c>
      <c r="L212" s="12">
        <v>0</v>
      </c>
      <c r="M212" s="8">
        <v>2014</v>
      </c>
      <c r="N212" s="9">
        <v>0</v>
      </c>
      <c r="O212" s="9">
        <v>0</v>
      </c>
      <c r="P212" s="9">
        <v>0</v>
      </c>
      <c r="Q212" s="9">
        <v>0</v>
      </c>
      <c r="R212" s="13">
        <v>41717</v>
      </c>
      <c r="S212" s="13">
        <v>41717</v>
      </c>
    </row>
    <row r="213" spans="1:19">
      <c r="A213" s="10">
        <v>2014</v>
      </c>
      <c r="B213" s="11" t="s">
        <v>489</v>
      </c>
      <c r="C213" s="11" t="s">
        <v>490</v>
      </c>
      <c r="D213" s="12">
        <v>1002052</v>
      </c>
      <c r="E213" s="12">
        <v>2</v>
      </c>
      <c r="F213" s="12"/>
      <c r="G213" s="12">
        <v>910</v>
      </c>
      <c r="H213" s="12" t="s">
        <v>130</v>
      </c>
      <c r="I213" s="12"/>
      <c r="J213" s="12" t="s">
        <v>131</v>
      </c>
      <c r="K213" s="12" t="b">
        <v>1</v>
      </c>
      <c r="L213" s="12">
        <v>3</v>
      </c>
      <c r="M213" s="8">
        <v>2017</v>
      </c>
      <c r="N213" s="9">
        <v>0</v>
      </c>
      <c r="O213" s="9">
        <v>0</v>
      </c>
      <c r="P213" s="9">
        <v>0</v>
      </c>
      <c r="Q213" s="9">
        <v>0</v>
      </c>
      <c r="R213" s="13">
        <v>41717</v>
      </c>
      <c r="S213" s="13">
        <v>41717</v>
      </c>
    </row>
    <row r="214" spans="1:19">
      <c r="A214" s="10">
        <v>2014</v>
      </c>
      <c r="B214" s="11" t="s">
        <v>489</v>
      </c>
      <c r="C214" s="11" t="s">
        <v>490</v>
      </c>
      <c r="D214" s="12">
        <v>1002052</v>
      </c>
      <c r="E214" s="12">
        <v>2</v>
      </c>
      <c r="F214" s="12"/>
      <c r="G214" s="12">
        <v>762</v>
      </c>
      <c r="H214" s="12" t="s">
        <v>116</v>
      </c>
      <c r="I214" s="12"/>
      <c r="J214" s="12" t="s">
        <v>117</v>
      </c>
      <c r="K214" s="12" t="b">
        <v>1</v>
      </c>
      <c r="L214" s="12">
        <v>0</v>
      </c>
      <c r="M214" s="8">
        <v>2014</v>
      </c>
      <c r="N214" s="9">
        <v>0</v>
      </c>
      <c r="O214" s="9">
        <v>0</v>
      </c>
      <c r="P214" s="9">
        <v>1590835.04</v>
      </c>
      <c r="Q214" s="9">
        <v>2074095.36</v>
      </c>
      <c r="R214" s="13">
        <v>41717</v>
      </c>
      <c r="S214" s="13">
        <v>41717</v>
      </c>
    </row>
    <row r="215" spans="1:19">
      <c r="A215" s="10">
        <v>2014</v>
      </c>
      <c r="B215" s="11" t="s">
        <v>489</v>
      </c>
      <c r="C215" s="11" t="s">
        <v>490</v>
      </c>
      <c r="D215" s="12">
        <v>1002052</v>
      </c>
      <c r="E215" s="12">
        <v>2</v>
      </c>
      <c r="F215" s="12"/>
      <c r="G215" s="12">
        <v>160</v>
      </c>
      <c r="H215" s="12" t="s">
        <v>62</v>
      </c>
      <c r="I215" s="12"/>
      <c r="J215" s="12" t="s">
        <v>365</v>
      </c>
      <c r="K215" s="12" t="b">
        <v>1</v>
      </c>
      <c r="L215" s="12">
        <v>2</v>
      </c>
      <c r="M215" s="8">
        <v>2016</v>
      </c>
      <c r="N215" s="9">
        <v>0</v>
      </c>
      <c r="O215" s="9">
        <v>0</v>
      </c>
      <c r="P215" s="9">
        <v>0</v>
      </c>
      <c r="Q215" s="9">
        <v>0</v>
      </c>
      <c r="R215" s="13">
        <v>41717</v>
      </c>
      <c r="S215" s="13">
        <v>41717</v>
      </c>
    </row>
    <row r="216" spans="1:19">
      <c r="A216" s="10">
        <v>2014</v>
      </c>
      <c r="B216" s="11" t="s">
        <v>489</v>
      </c>
      <c r="C216" s="11" t="s">
        <v>490</v>
      </c>
      <c r="D216" s="12">
        <v>1002052</v>
      </c>
      <c r="E216" s="12">
        <v>2</v>
      </c>
      <c r="F216" s="12"/>
      <c r="G216" s="12">
        <v>640</v>
      </c>
      <c r="H216" s="12">
        <v>11.5</v>
      </c>
      <c r="I216" s="12"/>
      <c r="J216" s="12" t="s">
        <v>95</v>
      </c>
      <c r="K216" s="12" t="b">
        <v>1</v>
      </c>
      <c r="L216" s="12">
        <v>2</v>
      </c>
      <c r="M216" s="8">
        <v>2016</v>
      </c>
      <c r="N216" s="9">
        <v>2450536</v>
      </c>
      <c r="O216" s="9">
        <v>1590835.04</v>
      </c>
      <c r="P216" s="9">
        <v>1184859</v>
      </c>
      <c r="Q216" s="9">
        <v>1184793.3400000001</v>
      </c>
      <c r="R216" s="13">
        <v>41717</v>
      </c>
      <c r="S216" s="13">
        <v>41717</v>
      </c>
    </row>
    <row r="217" spans="1:19">
      <c r="A217" s="10">
        <v>2014</v>
      </c>
      <c r="B217" s="11" t="s">
        <v>489</v>
      </c>
      <c r="C217" s="11" t="s">
        <v>490</v>
      </c>
      <c r="D217" s="12">
        <v>1002052</v>
      </c>
      <c r="E217" s="12">
        <v>2</v>
      </c>
      <c r="F217" s="12"/>
      <c r="G217" s="12">
        <v>810</v>
      </c>
      <c r="H217" s="12">
        <v>13.2</v>
      </c>
      <c r="I217" s="12"/>
      <c r="J217" s="12" t="s">
        <v>120</v>
      </c>
      <c r="K217" s="12" t="b">
        <v>1</v>
      </c>
      <c r="L217" s="12">
        <v>3</v>
      </c>
      <c r="M217" s="8">
        <v>2017</v>
      </c>
      <c r="N217" s="9">
        <v>0</v>
      </c>
      <c r="O217" s="9">
        <v>0</v>
      </c>
      <c r="P217" s="9">
        <v>0</v>
      </c>
      <c r="Q217" s="9">
        <v>0</v>
      </c>
      <c r="R217" s="13">
        <v>41717</v>
      </c>
      <c r="S217" s="13">
        <v>41717</v>
      </c>
    </row>
    <row r="218" spans="1:19">
      <c r="A218" s="10">
        <v>2014</v>
      </c>
      <c r="B218" s="11" t="s">
        <v>489</v>
      </c>
      <c r="C218" s="11" t="s">
        <v>490</v>
      </c>
      <c r="D218" s="12">
        <v>1002052</v>
      </c>
      <c r="E218" s="12">
        <v>2</v>
      </c>
      <c r="F218" s="12"/>
      <c r="G218" s="12">
        <v>880</v>
      </c>
      <c r="H218" s="12">
        <v>14.1</v>
      </c>
      <c r="I218" s="12"/>
      <c r="J218" s="12" t="s">
        <v>127</v>
      </c>
      <c r="K218" s="12" t="b">
        <v>1</v>
      </c>
      <c r="L218" s="12">
        <v>2</v>
      </c>
      <c r="M218" s="8">
        <v>2016</v>
      </c>
      <c r="N218" s="9">
        <v>601088.34</v>
      </c>
      <c r="O218" s="9">
        <v>1278520.75</v>
      </c>
      <c r="P218" s="9">
        <v>737521.46</v>
      </c>
      <c r="Q218" s="9">
        <v>737521.46</v>
      </c>
      <c r="R218" s="13">
        <v>41717</v>
      </c>
      <c r="S218" s="13">
        <v>41717</v>
      </c>
    </row>
    <row r="219" spans="1:19">
      <c r="A219" s="10">
        <v>2014</v>
      </c>
      <c r="B219" s="11" t="s">
        <v>489</v>
      </c>
      <c r="C219" s="11" t="s">
        <v>490</v>
      </c>
      <c r="D219" s="12">
        <v>1002052</v>
      </c>
      <c r="E219" s="12">
        <v>2</v>
      </c>
      <c r="F219" s="12"/>
      <c r="G219" s="12">
        <v>550</v>
      </c>
      <c r="H219" s="12">
        <v>10</v>
      </c>
      <c r="I219" s="12"/>
      <c r="J219" s="12" t="s">
        <v>85</v>
      </c>
      <c r="K219" s="12" t="b">
        <v>0</v>
      </c>
      <c r="L219" s="12">
        <v>2</v>
      </c>
      <c r="M219" s="8">
        <v>2016</v>
      </c>
      <c r="N219" s="9">
        <v>0</v>
      </c>
      <c r="O219" s="9">
        <v>0</v>
      </c>
      <c r="P219" s="9">
        <v>0</v>
      </c>
      <c r="Q219" s="9">
        <v>0</v>
      </c>
      <c r="R219" s="13">
        <v>41717</v>
      </c>
      <c r="S219" s="13">
        <v>41717</v>
      </c>
    </row>
    <row r="220" spans="1:19">
      <c r="A220" s="10">
        <v>2014</v>
      </c>
      <c r="B220" s="11" t="s">
        <v>489</v>
      </c>
      <c r="C220" s="11" t="s">
        <v>490</v>
      </c>
      <c r="D220" s="12">
        <v>1002052</v>
      </c>
      <c r="E220" s="12">
        <v>2</v>
      </c>
      <c r="F220" s="12"/>
      <c r="G220" s="12">
        <v>340</v>
      </c>
      <c r="H220" s="12">
        <v>5.2</v>
      </c>
      <c r="I220" s="12"/>
      <c r="J220" s="12" t="s">
        <v>80</v>
      </c>
      <c r="K220" s="12" t="b">
        <v>0</v>
      </c>
      <c r="L220" s="12">
        <v>2</v>
      </c>
      <c r="M220" s="8">
        <v>2016</v>
      </c>
      <c r="N220" s="9">
        <v>0</v>
      </c>
      <c r="O220" s="9">
        <v>24682</v>
      </c>
      <c r="P220" s="9">
        <v>0</v>
      </c>
      <c r="Q220" s="9">
        <v>0</v>
      </c>
      <c r="R220" s="13">
        <v>41717</v>
      </c>
      <c r="S220" s="13">
        <v>41717</v>
      </c>
    </row>
    <row r="221" spans="1:19">
      <c r="A221" s="10">
        <v>2014</v>
      </c>
      <c r="B221" s="11" t="s">
        <v>489</v>
      </c>
      <c r="C221" s="11" t="s">
        <v>490</v>
      </c>
      <c r="D221" s="12">
        <v>1002052</v>
      </c>
      <c r="E221" s="12">
        <v>2</v>
      </c>
      <c r="F221" s="12"/>
      <c r="G221" s="12">
        <v>334</v>
      </c>
      <c r="H221" s="12" t="s">
        <v>378</v>
      </c>
      <c r="I221" s="12"/>
      <c r="J221" s="12" t="s">
        <v>379</v>
      </c>
      <c r="K221" s="12" t="b">
        <v>1</v>
      </c>
      <c r="L221" s="12">
        <v>1</v>
      </c>
      <c r="M221" s="8">
        <v>2015</v>
      </c>
      <c r="N221" s="9">
        <v>0</v>
      </c>
      <c r="O221" s="9">
        <v>0</v>
      </c>
      <c r="P221" s="9">
        <v>0</v>
      </c>
      <c r="Q221" s="9">
        <v>0</v>
      </c>
      <c r="R221" s="13">
        <v>41717</v>
      </c>
      <c r="S221" s="13">
        <v>41717</v>
      </c>
    </row>
    <row r="222" spans="1:19">
      <c r="A222" s="10">
        <v>2014</v>
      </c>
      <c r="B222" s="11" t="s">
        <v>489</v>
      </c>
      <c r="C222" s="11" t="s">
        <v>490</v>
      </c>
      <c r="D222" s="12">
        <v>1002052</v>
      </c>
      <c r="E222" s="12">
        <v>2</v>
      </c>
      <c r="F222" s="12"/>
      <c r="G222" s="12">
        <v>880</v>
      </c>
      <c r="H222" s="12">
        <v>14.1</v>
      </c>
      <c r="I222" s="12"/>
      <c r="J222" s="12" t="s">
        <v>127</v>
      </c>
      <c r="K222" s="12" t="b">
        <v>1</v>
      </c>
      <c r="L222" s="12">
        <v>0</v>
      </c>
      <c r="M222" s="8">
        <v>2014</v>
      </c>
      <c r="N222" s="9">
        <v>601088.34</v>
      </c>
      <c r="O222" s="9">
        <v>1278520.75</v>
      </c>
      <c r="P222" s="9">
        <v>737521.46</v>
      </c>
      <c r="Q222" s="9">
        <v>737521.46</v>
      </c>
      <c r="R222" s="13">
        <v>41717</v>
      </c>
      <c r="S222" s="13">
        <v>41717</v>
      </c>
    </row>
    <row r="223" spans="1:19">
      <c r="A223" s="10">
        <v>2014</v>
      </c>
      <c r="B223" s="11" t="s">
        <v>489</v>
      </c>
      <c r="C223" s="11" t="s">
        <v>490</v>
      </c>
      <c r="D223" s="12">
        <v>1002052</v>
      </c>
      <c r="E223" s="12">
        <v>2</v>
      </c>
      <c r="F223" s="12"/>
      <c r="G223" s="12">
        <v>763</v>
      </c>
      <c r="H223" s="12">
        <v>12.5</v>
      </c>
      <c r="I223" s="12"/>
      <c r="J223" s="12" t="s">
        <v>404</v>
      </c>
      <c r="K223" s="12" t="b">
        <v>1</v>
      </c>
      <c r="L223" s="12">
        <v>2</v>
      </c>
      <c r="M223" s="8">
        <v>2016</v>
      </c>
      <c r="N223" s="9">
        <v>0</v>
      </c>
      <c r="O223" s="9">
        <v>0</v>
      </c>
      <c r="P223" s="9">
        <v>0</v>
      </c>
      <c r="Q223" s="9">
        <v>0</v>
      </c>
      <c r="R223" s="13">
        <v>41717</v>
      </c>
      <c r="S223" s="13">
        <v>41717</v>
      </c>
    </row>
    <row r="224" spans="1:19">
      <c r="A224" s="10">
        <v>2014</v>
      </c>
      <c r="B224" s="11" t="s">
        <v>489</v>
      </c>
      <c r="C224" s="11" t="s">
        <v>490</v>
      </c>
      <c r="D224" s="12">
        <v>1002052</v>
      </c>
      <c r="E224" s="12">
        <v>2</v>
      </c>
      <c r="F224" s="12"/>
      <c r="G224" s="12">
        <v>30</v>
      </c>
      <c r="H224" s="12" t="s">
        <v>41</v>
      </c>
      <c r="I224" s="12"/>
      <c r="J224" s="12" t="s">
        <v>42</v>
      </c>
      <c r="K224" s="12" t="b">
        <v>1</v>
      </c>
      <c r="L224" s="12">
        <v>0</v>
      </c>
      <c r="M224" s="8">
        <v>2014</v>
      </c>
      <c r="N224" s="9">
        <v>976091</v>
      </c>
      <c r="O224" s="9">
        <v>1398132</v>
      </c>
      <c r="P224" s="9">
        <v>1443005</v>
      </c>
      <c r="Q224" s="9">
        <v>1390365</v>
      </c>
      <c r="R224" s="13">
        <v>41717</v>
      </c>
      <c r="S224" s="13">
        <v>41717</v>
      </c>
    </row>
    <row r="225" spans="1:19">
      <c r="A225" s="10">
        <v>2014</v>
      </c>
      <c r="B225" s="11" t="s">
        <v>489</v>
      </c>
      <c r="C225" s="11" t="s">
        <v>490</v>
      </c>
      <c r="D225" s="12">
        <v>1002052</v>
      </c>
      <c r="E225" s="12">
        <v>2</v>
      </c>
      <c r="F225" s="12"/>
      <c r="G225" s="12">
        <v>280</v>
      </c>
      <c r="H225" s="12">
        <v>4.4000000000000004</v>
      </c>
      <c r="I225" s="12"/>
      <c r="J225" s="12" t="s">
        <v>74</v>
      </c>
      <c r="K225" s="12" t="b">
        <v>0</v>
      </c>
      <c r="L225" s="12">
        <v>1</v>
      </c>
      <c r="M225" s="8">
        <v>2015</v>
      </c>
      <c r="N225" s="9">
        <v>21393.72</v>
      </c>
      <c r="O225" s="9">
        <v>0</v>
      </c>
      <c r="P225" s="9">
        <v>24682</v>
      </c>
      <c r="Q225" s="9">
        <v>24682</v>
      </c>
      <c r="R225" s="13">
        <v>41717</v>
      </c>
      <c r="S225" s="13">
        <v>41717</v>
      </c>
    </row>
    <row r="226" spans="1:19">
      <c r="A226" s="10">
        <v>2014</v>
      </c>
      <c r="B226" s="11" t="s">
        <v>489</v>
      </c>
      <c r="C226" s="11" t="s">
        <v>490</v>
      </c>
      <c r="D226" s="12">
        <v>1002052</v>
      </c>
      <c r="E226" s="12">
        <v>2</v>
      </c>
      <c r="F226" s="12"/>
      <c r="G226" s="12">
        <v>530</v>
      </c>
      <c r="H226" s="12">
        <v>9.6999999999999993</v>
      </c>
      <c r="I226" s="12" t="s">
        <v>397</v>
      </c>
      <c r="J226" s="12" t="s">
        <v>398</v>
      </c>
      <c r="K226" s="12" t="b">
        <v>0</v>
      </c>
      <c r="L226" s="12">
        <v>1</v>
      </c>
      <c r="M226" s="8">
        <v>2015</v>
      </c>
      <c r="N226" s="9">
        <v>7.4000000000000003E-3</v>
      </c>
      <c r="O226" s="9">
        <v>5.45E-2</v>
      </c>
      <c r="P226" s="9">
        <v>6.1800000000000001E-2</v>
      </c>
      <c r="Q226" s="9">
        <v>6.0900000000000003E-2</v>
      </c>
      <c r="R226" s="13">
        <v>41717</v>
      </c>
      <c r="S226" s="13">
        <v>41717</v>
      </c>
    </row>
    <row r="227" spans="1:19">
      <c r="A227" s="10">
        <v>2014</v>
      </c>
      <c r="B227" s="11" t="s">
        <v>489</v>
      </c>
      <c r="C227" s="11" t="s">
        <v>490</v>
      </c>
      <c r="D227" s="12">
        <v>1002052</v>
      </c>
      <c r="E227" s="12">
        <v>2</v>
      </c>
      <c r="F227" s="12"/>
      <c r="G227" s="12">
        <v>970</v>
      </c>
      <c r="H227" s="12" t="s">
        <v>420</v>
      </c>
      <c r="I227" s="12"/>
      <c r="J227" s="12" t="s">
        <v>421</v>
      </c>
      <c r="K227" s="12" t="b">
        <v>1</v>
      </c>
      <c r="L227" s="12">
        <v>3</v>
      </c>
      <c r="M227" s="8">
        <v>2017</v>
      </c>
      <c r="N227" s="9">
        <v>0</v>
      </c>
      <c r="O227" s="9">
        <v>0</v>
      </c>
      <c r="P227" s="9">
        <v>0</v>
      </c>
      <c r="Q227" s="9">
        <v>0</v>
      </c>
      <c r="R227" s="13">
        <v>41717</v>
      </c>
      <c r="S227" s="13">
        <v>41717</v>
      </c>
    </row>
    <row r="228" spans="1:19">
      <c r="A228" s="10">
        <v>2014</v>
      </c>
      <c r="B228" s="11" t="s">
        <v>489</v>
      </c>
      <c r="C228" s="11" t="s">
        <v>490</v>
      </c>
      <c r="D228" s="12">
        <v>1002052</v>
      </c>
      <c r="E228" s="12">
        <v>2</v>
      </c>
      <c r="F228" s="12"/>
      <c r="G228" s="12">
        <v>240</v>
      </c>
      <c r="H228" s="12">
        <v>4.2</v>
      </c>
      <c r="I228" s="12"/>
      <c r="J228" s="12" t="s">
        <v>69</v>
      </c>
      <c r="K228" s="12" t="b">
        <v>0</v>
      </c>
      <c r="L228" s="12">
        <v>3</v>
      </c>
      <c r="M228" s="8">
        <v>2017</v>
      </c>
      <c r="N228" s="9">
        <v>186016.39</v>
      </c>
      <c r="O228" s="9">
        <v>902519.37</v>
      </c>
      <c r="P228" s="9">
        <v>1422477.65</v>
      </c>
      <c r="Q228" s="9">
        <v>1422477.65</v>
      </c>
      <c r="R228" s="13">
        <v>41717</v>
      </c>
      <c r="S228" s="13">
        <v>41717</v>
      </c>
    </row>
    <row r="229" spans="1:19">
      <c r="A229" s="10">
        <v>2014</v>
      </c>
      <c r="B229" s="11" t="s">
        <v>489</v>
      </c>
      <c r="C229" s="11" t="s">
        <v>490</v>
      </c>
      <c r="D229" s="12">
        <v>1002052</v>
      </c>
      <c r="E229" s="12">
        <v>2</v>
      </c>
      <c r="F229" s="12"/>
      <c r="G229" s="12">
        <v>130</v>
      </c>
      <c r="H229" s="12">
        <v>2.1</v>
      </c>
      <c r="I229" s="12"/>
      <c r="J229" s="12" t="s">
        <v>58</v>
      </c>
      <c r="K229" s="12" t="b">
        <v>1</v>
      </c>
      <c r="L229" s="12">
        <v>3</v>
      </c>
      <c r="M229" s="8">
        <v>2017</v>
      </c>
      <c r="N229" s="9">
        <v>9211865.6600000001</v>
      </c>
      <c r="O229" s="9">
        <v>9055670.4299999997</v>
      </c>
      <c r="P229" s="9">
        <v>9959324.6999999993</v>
      </c>
      <c r="Q229" s="9">
        <v>9384342.0399999991</v>
      </c>
      <c r="R229" s="13">
        <v>41717</v>
      </c>
      <c r="S229" s="13">
        <v>41717</v>
      </c>
    </row>
    <row r="230" spans="1:19">
      <c r="A230" s="10">
        <v>2014</v>
      </c>
      <c r="B230" s="11" t="s">
        <v>489</v>
      </c>
      <c r="C230" s="11" t="s">
        <v>490</v>
      </c>
      <c r="D230" s="12">
        <v>1002052</v>
      </c>
      <c r="E230" s="12">
        <v>2</v>
      </c>
      <c r="F230" s="12"/>
      <c r="G230" s="12">
        <v>410</v>
      </c>
      <c r="H230" s="12">
        <v>8</v>
      </c>
      <c r="I230" s="12"/>
      <c r="J230" s="12" t="s">
        <v>146</v>
      </c>
      <c r="K230" s="12" t="b">
        <v>1</v>
      </c>
      <c r="L230" s="12">
        <v>2</v>
      </c>
      <c r="M230" s="8">
        <v>2016</v>
      </c>
      <c r="N230" s="9">
        <v>0</v>
      </c>
      <c r="O230" s="9">
        <v>0</v>
      </c>
      <c r="P230" s="9">
        <v>0</v>
      </c>
      <c r="Q230" s="9">
        <v>0</v>
      </c>
      <c r="R230" s="13">
        <v>41717</v>
      </c>
      <c r="S230" s="13">
        <v>41717</v>
      </c>
    </row>
    <row r="231" spans="1:19">
      <c r="A231" s="10">
        <v>2014</v>
      </c>
      <c r="B231" s="11" t="s">
        <v>489</v>
      </c>
      <c r="C231" s="11" t="s">
        <v>490</v>
      </c>
      <c r="D231" s="12">
        <v>1002052</v>
      </c>
      <c r="E231" s="12">
        <v>2</v>
      </c>
      <c r="F231" s="12"/>
      <c r="G231" s="12">
        <v>560</v>
      </c>
      <c r="H231" s="12">
        <v>10.1</v>
      </c>
      <c r="I231" s="12"/>
      <c r="J231" s="12" t="s">
        <v>86</v>
      </c>
      <c r="K231" s="12" t="b">
        <v>0</v>
      </c>
      <c r="L231" s="12">
        <v>3</v>
      </c>
      <c r="M231" s="8">
        <v>2017</v>
      </c>
      <c r="N231" s="9">
        <v>0</v>
      </c>
      <c r="O231" s="9">
        <v>0</v>
      </c>
      <c r="P231" s="9">
        <v>0</v>
      </c>
      <c r="Q231" s="9">
        <v>0</v>
      </c>
      <c r="R231" s="13">
        <v>41717</v>
      </c>
      <c r="S231" s="13">
        <v>41717</v>
      </c>
    </row>
    <row r="232" spans="1:19">
      <c r="A232" s="10">
        <v>2014</v>
      </c>
      <c r="B232" s="11" t="s">
        <v>489</v>
      </c>
      <c r="C232" s="11" t="s">
        <v>490</v>
      </c>
      <c r="D232" s="12">
        <v>1002052</v>
      </c>
      <c r="E232" s="12">
        <v>2</v>
      </c>
      <c r="F232" s="12"/>
      <c r="G232" s="12">
        <v>768</v>
      </c>
      <c r="H232" s="12" t="s">
        <v>412</v>
      </c>
      <c r="I232" s="12"/>
      <c r="J232" s="12" t="s">
        <v>406</v>
      </c>
      <c r="K232" s="12" t="b">
        <v>1</v>
      </c>
      <c r="L232" s="12">
        <v>1</v>
      </c>
      <c r="M232" s="8">
        <v>2015</v>
      </c>
      <c r="N232" s="9">
        <v>0</v>
      </c>
      <c r="O232" s="9">
        <v>0</v>
      </c>
      <c r="P232" s="9">
        <v>0</v>
      </c>
      <c r="Q232" s="9">
        <v>0</v>
      </c>
      <c r="R232" s="13">
        <v>41717</v>
      </c>
      <c r="S232" s="13">
        <v>41717</v>
      </c>
    </row>
    <row r="233" spans="1:19">
      <c r="A233" s="10">
        <v>2014</v>
      </c>
      <c r="B233" s="11" t="s">
        <v>489</v>
      </c>
      <c r="C233" s="11" t="s">
        <v>490</v>
      </c>
      <c r="D233" s="12">
        <v>1002052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96</v>
      </c>
      <c r="K233" s="12" t="b">
        <v>1</v>
      </c>
      <c r="L233" s="12">
        <v>3</v>
      </c>
      <c r="M233" s="8">
        <v>2017</v>
      </c>
      <c r="N233" s="9">
        <v>0</v>
      </c>
      <c r="O233" s="9">
        <v>0</v>
      </c>
      <c r="P233" s="9">
        <v>39000</v>
      </c>
      <c r="Q233" s="9">
        <v>27700</v>
      </c>
      <c r="R233" s="13">
        <v>41717</v>
      </c>
      <c r="S233" s="13">
        <v>41717</v>
      </c>
    </row>
    <row r="234" spans="1:19">
      <c r="A234" s="10">
        <v>2014</v>
      </c>
      <c r="B234" s="11" t="s">
        <v>489</v>
      </c>
      <c r="C234" s="11" t="s">
        <v>490</v>
      </c>
      <c r="D234" s="12">
        <v>1002052</v>
      </c>
      <c r="E234" s="12">
        <v>2</v>
      </c>
      <c r="F234" s="12"/>
      <c r="G234" s="12">
        <v>630</v>
      </c>
      <c r="H234" s="12">
        <v>11.4</v>
      </c>
      <c r="I234" s="12"/>
      <c r="J234" s="12" t="s">
        <v>94</v>
      </c>
      <c r="K234" s="12" t="b">
        <v>1</v>
      </c>
      <c r="L234" s="12">
        <v>1</v>
      </c>
      <c r="M234" s="8">
        <v>2015</v>
      </c>
      <c r="N234" s="9">
        <v>1173514.32</v>
      </c>
      <c r="O234" s="9">
        <v>835040.96</v>
      </c>
      <c r="P234" s="9">
        <v>3401517</v>
      </c>
      <c r="Q234" s="9">
        <v>3180695.36</v>
      </c>
      <c r="R234" s="13">
        <v>41717</v>
      </c>
      <c r="S234" s="13">
        <v>41717</v>
      </c>
    </row>
    <row r="235" spans="1:19">
      <c r="A235" s="10">
        <v>2014</v>
      </c>
      <c r="B235" s="11" t="s">
        <v>489</v>
      </c>
      <c r="C235" s="11" t="s">
        <v>490</v>
      </c>
      <c r="D235" s="12">
        <v>1002052</v>
      </c>
      <c r="E235" s="12">
        <v>2</v>
      </c>
      <c r="F235" s="12"/>
      <c r="G235" s="12">
        <v>590</v>
      </c>
      <c r="H235" s="12">
        <v>11.2</v>
      </c>
      <c r="I235" s="12"/>
      <c r="J235" s="12" t="s">
        <v>89</v>
      </c>
      <c r="K235" s="12" t="b">
        <v>1</v>
      </c>
      <c r="L235" s="12">
        <v>1</v>
      </c>
      <c r="M235" s="8">
        <v>2015</v>
      </c>
      <c r="N235" s="9">
        <v>1397090.95</v>
      </c>
      <c r="O235" s="9">
        <v>1438877.18</v>
      </c>
      <c r="P235" s="9">
        <v>1491519</v>
      </c>
      <c r="Q235" s="9">
        <v>1343112.1</v>
      </c>
      <c r="R235" s="13">
        <v>41717</v>
      </c>
      <c r="S235" s="13">
        <v>41717</v>
      </c>
    </row>
    <row r="236" spans="1:19">
      <c r="A236" s="10">
        <v>2014</v>
      </c>
      <c r="B236" s="11" t="s">
        <v>489</v>
      </c>
      <c r="C236" s="11" t="s">
        <v>490</v>
      </c>
      <c r="D236" s="12">
        <v>1002052</v>
      </c>
      <c r="E236" s="12">
        <v>2</v>
      </c>
      <c r="F236" s="12"/>
      <c r="G236" s="12">
        <v>200</v>
      </c>
      <c r="H236" s="12">
        <v>3</v>
      </c>
      <c r="I236" s="12" t="s">
        <v>372</v>
      </c>
      <c r="J236" s="12" t="s">
        <v>21</v>
      </c>
      <c r="K236" s="12" t="b">
        <v>0</v>
      </c>
      <c r="L236" s="12">
        <v>0</v>
      </c>
      <c r="M236" s="8">
        <v>2014</v>
      </c>
      <c r="N236" s="9">
        <v>-1100222.42</v>
      </c>
      <c r="O236" s="9">
        <v>2580481.7200000002</v>
      </c>
      <c r="P236" s="9">
        <v>-1113306.28</v>
      </c>
      <c r="Q236" s="9">
        <v>-1069250.1399999999</v>
      </c>
      <c r="R236" s="13">
        <v>41717</v>
      </c>
      <c r="S236" s="13">
        <v>41717</v>
      </c>
    </row>
    <row r="237" spans="1:19">
      <c r="A237" s="10">
        <v>2014</v>
      </c>
      <c r="B237" s="11" t="s">
        <v>489</v>
      </c>
      <c r="C237" s="11" t="s">
        <v>490</v>
      </c>
      <c r="D237" s="12">
        <v>1002052</v>
      </c>
      <c r="E237" s="12">
        <v>2</v>
      </c>
      <c r="F237" s="12"/>
      <c r="G237" s="12">
        <v>767</v>
      </c>
      <c r="H237" s="12">
        <v>12.7</v>
      </c>
      <c r="I237" s="12"/>
      <c r="J237" s="12" t="s">
        <v>411</v>
      </c>
      <c r="K237" s="12" t="b">
        <v>1</v>
      </c>
      <c r="L237" s="12">
        <v>0</v>
      </c>
      <c r="M237" s="8">
        <v>2014</v>
      </c>
      <c r="N237" s="9">
        <v>0</v>
      </c>
      <c r="O237" s="9">
        <v>0</v>
      </c>
      <c r="P237" s="9">
        <v>0</v>
      </c>
      <c r="Q237" s="9">
        <v>0</v>
      </c>
      <c r="R237" s="13">
        <v>41717</v>
      </c>
      <c r="S237" s="13">
        <v>41717</v>
      </c>
    </row>
    <row r="238" spans="1:19">
      <c r="A238" s="10">
        <v>2014</v>
      </c>
      <c r="B238" s="11" t="s">
        <v>489</v>
      </c>
      <c r="C238" s="11" t="s">
        <v>490</v>
      </c>
      <c r="D238" s="12">
        <v>1002052</v>
      </c>
      <c r="E238" s="12">
        <v>2</v>
      </c>
      <c r="F238" s="12"/>
      <c r="G238" s="12">
        <v>790</v>
      </c>
      <c r="H238" s="12">
        <v>13</v>
      </c>
      <c r="I238" s="12"/>
      <c r="J238" s="12" t="s">
        <v>118</v>
      </c>
      <c r="K238" s="12" t="b">
        <v>1</v>
      </c>
      <c r="L238" s="12">
        <v>0</v>
      </c>
      <c r="M238" s="8">
        <v>2014</v>
      </c>
      <c r="N238" s="9">
        <v>0</v>
      </c>
      <c r="O238" s="9">
        <v>0</v>
      </c>
      <c r="P238" s="9">
        <v>0</v>
      </c>
      <c r="Q238" s="9">
        <v>0</v>
      </c>
      <c r="R238" s="13">
        <v>41717</v>
      </c>
      <c r="S238" s="13">
        <v>41717</v>
      </c>
    </row>
    <row r="239" spans="1:19">
      <c r="A239" s="10">
        <v>2014</v>
      </c>
      <c r="B239" s="11" t="s">
        <v>489</v>
      </c>
      <c r="C239" s="11" t="s">
        <v>490</v>
      </c>
      <c r="D239" s="12">
        <v>1002052</v>
      </c>
      <c r="E239" s="12">
        <v>2</v>
      </c>
      <c r="F239" s="12"/>
      <c r="G239" s="12">
        <v>140</v>
      </c>
      <c r="H239" s="12" t="s">
        <v>59</v>
      </c>
      <c r="I239" s="12"/>
      <c r="J239" s="12" t="s">
        <v>60</v>
      </c>
      <c r="K239" s="12" t="b">
        <v>1</v>
      </c>
      <c r="L239" s="12">
        <v>2</v>
      </c>
      <c r="M239" s="8">
        <v>2016</v>
      </c>
      <c r="N239" s="9">
        <v>0</v>
      </c>
      <c r="O239" s="9">
        <v>0</v>
      </c>
      <c r="P239" s="9">
        <v>0</v>
      </c>
      <c r="Q239" s="9">
        <v>0</v>
      </c>
      <c r="R239" s="13">
        <v>41717</v>
      </c>
      <c r="S239" s="13">
        <v>41717</v>
      </c>
    </row>
    <row r="240" spans="1:19">
      <c r="A240" s="10">
        <v>2014</v>
      </c>
      <c r="B240" s="11" t="s">
        <v>489</v>
      </c>
      <c r="C240" s="11" t="s">
        <v>490</v>
      </c>
      <c r="D240" s="12">
        <v>1002052</v>
      </c>
      <c r="E240" s="12">
        <v>2</v>
      </c>
      <c r="F240" s="12"/>
      <c r="G240" s="12">
        <v>860</v>
      </c>
      <c r="H240" s="12">
        <v>13.7</v>
      </c>
      <c r="I240" s="12"/>
      <c r="J240" s="12" t="s">
        <v>125</v>
      </c>
      <c r="K240" s="12" t="b">
        <v>1</v>
      </c>
      <c r="L240" s="12">
        <v>0</v>
      </c>
      <c r="M240" s="8">
        <v>2014</v>
      </c>
      <c r="N240" s="9">
        <v>0</v>
      </c>
      <c r="O240" s="9">
        <v>0</v>
      </c>
      <c r="P240" s="9">
        <v>0</v>
      </c>
      <c r="Q240" s="9">
        <v>0</v>
      </c>
      <c r="R240" s="13">
        <v>41717</v>
      </c>
      <c r="S240" s="13">
        <v>41717</v>
      </c>
    </row>
    <row r="241" spans="1:19">
      <c r="A241" s="10">
        <v>2014</v>
      </c>
      <c r="B241" s="11" t="s">
        <v>489</v>
      </c>
      <c r="C241" s="11" t="s">
        <v>490</v>
      </c>
      <c r="D241" s="12">
        <v>1002052</v>
      </c>
      <c r="E241" s="12">
        <v>2</v>
      </c>
      <c r="F241" s="12"/>
      <c r="G241" s="12">
        <v>70</v>
      </c>
      <c r="H241" s="12" t="s">
        <v>49</v>
      </c>
      <c r="I241" s="12"/>
      <c r="J241" s="12" t="s">
        <v>50</v>
      </c>
      <c r="K241" s="12" t="b">
        <v>1</v>
      </c>
      <c r="L241" s="12">
        <v>0</v>
      </c>
      <c r="M241" s="8">
        <v>2014</v>
      </c>
      <c r="N241" s="9">
        <v>4037554</v>
      </c>
      <c r="O241" s="9">
        <v>4481337</v>
      </c>
      <c r="P241" s="9">
        <v>4504728</v>
      </c>
      <c r="Q241" s="9">
        <v>4504728</v>
      </c>
      <c r="R241" s="13">
        <v>41717</v>
      </c>
      <c r="S241" s="13">
        <v>41717</v>
      </c>
    </row>
    <row r="242" spans="1:19">
      <c r="A242" s="10">
        <v>2014</v>
      </c>
      <c r="B242" s="11" t="s">
        <v>489</v>
      </c>
      <c r="C242" s="11" t="s">
        <v>490</v>
      </c>
      <c r="D242" s="12">
        <v>1002052</v>
      </c>
      <c r="E242" s="12">
        <v>2</v>
      </c>
      <c r="F242" s="12"/>
      <c r="G242" s="12">
        <v>20</v>
      </c>
      <c r="H242" s="12">
        <v>1.1000000000000001</v>
      </c>
      <c r="I242" s="12"/>
      <c r="J242" s="12" t="s">
        <v>40</v>
      </c>
      <c r="K242" s="12" t="b">
        <v>1</v>
      </c>
      <c r="L242" s="12">
        <v>0</v>
      </c>
      <c r="M242" s="8">
        <v>2014</v>
      </c>
      <c r="N242" s="9">
        <v>10187163.27</v>
      </c>
      <c r="O242" s="9">
        <v>12660364.539999999</v>
      </c>
      <c r="P242" s="9">
        <v>12464064.42</v>
      </c>
      <c r="Q242" s="9">
        <v>11968299.93</v>
      </c>
      <c r="R242" s="13">
        <v>41717</v>
      </c>
      <c r="S242" s="13">
        <v>41717</v>
      </c>
    </row>
    <row r="243" spans="1:19">
      <c r="A243" s="10">
        <v>2014</v>
      </c>
      <c r="B243" s="11" t="s">
        <v>489</v>
      </c>
      <c r="C243" s="11" t="s">
        <v>490</v>
      </c>
      <c r="D243" s="12">
        <v>1002052</v>
      </c>
      <c r="E243" s="12">
        <v>2</v>
      </c>
      <c r="F243" s="12"/>
      <c r="G243" s="12">
        <v>880</v>
      </c>
      <c r="H243" s="12">
        <v>14.1</v>
      </c>
      <c r="I243" s="12"/>
      <c r="J243" s="12" t="s">
        <v>127</v>
      </c>
      <c r="K243" s="12" t="b">
        <v>1</v>
      </c>
      <c r="L243" s="12">
        <v>1</v>
      </c>
      <c r="M243" s="8">
        <v>2015</v>
      </c>
      <c r="N243" s="9">
        <v>601088.34</v>
      </c>
      <c r="O243" s="9">
        <v>1278520.75</v>
      </c>
      <c r="P243" s="9">
        <v>737521.46</v>
      </c>
      <c r="Q243" s="9">
        <v>737521.46</v>
      </c>
      <c r="R243" s="13">
        <v>41717</v>
      </c>
      <c r="S243" s="13">
        <v>41717</v>
      </c>
    </row>
    <row r="244" spans="1:19">
      <c r="A244" s="10">
        <v>2014</v>
      </c>
      <c r="B244" s="11" t="s">
        <v>489</v>
      </c>
      <c r="C244" s="11" t="s">
        <v>490</v>
      </c>
      <c r="D244" s="12">
        <v>1002052</v>
      </c>
      <c r="E244" s="12">
        <v>2</v>
      </c>
      <c r="F244" s="12"/>
      <c r="G244" s="12">
        <v>440</v>
      </c>
      <c r="H244" s="12">
        <v>9</v>
      </c>
      <c r="I244" s="12"/>
      <c r="J244" s="12" t="s">
        <v>149</v>
      </c>
      <c r="K244" s="12" t="b">
        <v>0</v>
      </c>
      <c r="L244" s="12">
        <v>0</v>
      </c>
      <c r="M244" s="8">
        <v>2014</v>
      </c>
      <c r="N244" s="9">
        <v>0</v>
      </c>
      <c r="O244" s="9">
        <v>0</v>
      </c>
      <c r="P244" s="9">
        <v>0</v>
      </c>
      <c r="Q244" s="9">
        <v>0</v>
      </c>
      <c r="R244" s="13">
        <v>41717</v>
      </c>
      <c r="S244" s="13">
        <v>41717</v>
      </c>
    </row>
    <row r="245" spans="1:19">
      <c r="A245" s="10">
        <v>2014</v>
      </c>
      <c r="B245" s="11" t="s">
        <v>489</v>
      </c>
      <c r="C245" s="11" t="s">
        <v>490</v>
      </c>
      <c r="D245" s="12">
        <v>1002052</v>
      </c>
      <c r="E245" s="12">
        <v>2</v>
      </c>
      <c r="F245" s="12"/>
      <c r="G245" s="12">
        <v>690</v>
      </c>
      <c r="H245" s="12" t="s">
        <v>101</v>
      </c>
      <c r="I245" s="12"/>
      <c r="J245" s="12" t="s">
        <v>102</v>
      </c>
      <c r="K245" s="12" t="b">
        <v>1</v>
      </c>
      <c r="L245" s="12">
        <v>2</v>
      </c>
      <c r="M245" s="8">
        <v>2016</v>
      </c>
      <c r="N245" s="9">
        <v>0</v>
      </c>
      <c r="O245" s="9">
        <v>0</v>
      </c>
      <c r="P245" s="9">
        <v>96205.25</v>
      </c>
      <c r="Q245" s="9">
        <v>93191.67</v>
      </c>
      <c r="R245" s="13">
        <v>41717</v>
      </c>
      <c r="S245" s="13">
        <v>41717</v>
      </c>
    </row>
    <row r="246" spans="1:19">
      <c r="A246" s="10">
        <v>2014</v>
      </c>
      <c r="B246" s="11" t="s">
        <v>489</v>
      </c>
      <c r="C246" s="11" t="s">
        <v>490</v>
      </c>
      <c r="D246" s="12">
        <v>1002052</v>
      </c>
      <c r="E246" s="12">
        <v>2</v>
      </c>
      <c r="F246" s="12"/>
      <c r="G246" s="12">
        <v>761</v>
      </c>
      <c r="H246" s="12" t="s">
        <v>114</v>
      </c>
      <c r="I246" s="12"/>
      <c r="J246" s="12" t="s">
        <v>115</v>
      </c>
      <c r="K246" s="12" t="b">
        <v>1</v>
      </c>
      <c r="L246" s="12">
        <v>1</v>
      </c>
      <c r="M246" s="8">
        <v>2015</v>
      </c>
      <c r="N246" s="9">
        <v>650923.96</v>
      </c>
      <c r="O246" s="9">
        <v>220814.52</v>
      </c>
      <c r="P246" s="9">
        <v>3401517</v>
      </c>
      <c r="Q246" s="9">
        <v>3180695.36</v>
      </c>
      <c r="R246" s="13">
        <v>41717</v>
      </c>
      <c r="S246" s="13">
        <v>41717</v>
      </c>
    </row>
    <row r="247" spans="1:19">
      <c r="A247" s="10">
        <v>2014</v>
      </c>
      <c r="B247" s="11" t="s">
        <v>489</v>
      </c>
      <c r="C247" s="11" t="s">
        <v>490</v>
      </c>
      <c r="D247" s="12">
        <v>1002052</v>
      </c>
      <c r="E247" s="12">
        <v>2</v>
      </c>
      <c r="F247" s="12"/>
      <c r="G247" s="12">
        <v>40</v>
      </c>
      <c r="H247" s="12" t="s">
        <v>43</v>
      </c>
      <c r="I247" s="12"/>
      <c r="J247" s="12" t="s">
        <v>44</v>
      </c>
      <c r="K247" s="12" t="b">
        <v>1</v>
      </c>
      <c r="L247" s="12">
        <v>3</v>
      </c>
      <c r="M247" s="8">
        <v>2017</v>
      </c>
      <c r="N247" s="9">
        <v>7359.96</v>
      </c>
      <c r="O247" s="9">
        <v>873.76</v>
      </c>
      <c r="P247" s="9">
        <v>1000</v>
      </c>
      <c r="Q247" s="9">
        <v>654.23</v>
      </c>
      <c r="R247" s="13">
        <v>41717</v>
      </c>
      <c r="S247" s="13">
        <v>41717</v>
      </c>
    </row>
    <row r="248" spans="1:19">
      <c r="A248" s="10">
        <v>2014</v>
      </c>
      <c r="B248" s="11" t="s">
        <v>489</v>
      </c>
      <c r="C248" s="11" t="s">
        <v>490</v>
      </c>
      <c r="D248" s="12">
        <v>1002052</v>
      </c>
      <c r="E248" s="12">
        <v>2</v>
      </c>
      <c r="F248" s="12"/>
      <c r="G248" s="12">
        <v>820</v>
      </c>
      <c r="H248" s="12">
        <v>13.3</v>
      </c>
      <c r="I248" s="12"/>
      <c r="J248" s="12" t="s">
        <v>121</v>
      </c>
      <c r="K248" s="12" t="b">
        <v>1</v>
      </c>
      <c r="L248" s="12">
        <v>2</v>
      </c>
      <c r="M248" s="8">
        <v>2016</v>
      </c>
      <c r="N248" s="9">
        <v>0</v>
      </c>
      <c r="O248" s="9">
        <v>0</v>
      </c>
      <c r="P248" s="9">
        <v>0</v>
      </c>
      <c r="Q248" s="9">
        <v>0</v>
      </c>
      <c r="R248" s="13">
        <v>41717</v>
      </c>
      <c r="S248" s="13">
        <v>41717</v>
      </c>
    </row>
    <row r="249" spans="1:19">
      <c r="A249" s="10">
        <v>2014</v>
      </c>
      <c r="B249" s="11" t="s">
        <v>489</v>
      </c>
      <c r="C249" s="11" t="s">
        <v>490</v>
      </c>
      <c r="D249" s="12">
        <v>1002052</v>
      </c>
      <c r="E249" s="12">
        <v>2</v>
      </c>
      <c r="F249" s="12"/>
      <c r="G249" s="12">
        <v>761</v>
      </c>
      <c r="H249" s="12" t="s">
        <v>114</v>
      </c>
      <c r="I249" s="12"/>
      <c r="J249" s="12" t="s">
        <v>115</v>
      </c>
      <c r="K249" s="12" t="b">
        <v>1</v>
      </c>
      <c r="L249" s="12">
        <v>2</v>
      </c>
      <c r="M249" s="8">
        <v>2016</v>
      </c>
      <c r="N249" s="9">
        <v>650923.96</v>
      </c>
      <c r="O249" s="9">
        <v>220814.52</v>
      </c>
      <c r="P249" s="9">
        <v>3401517</v>
      </c>
      <c r="Q249" s="9">
        <v>3180695.36</v>
      </c>
      <c r="R249" s="13">
        <v>41717</v>
      </c>
      <c r="S249" s="13">
        <v>41717</v>
      </c>
    </row>
    <row r="250" spans="1:19">
      <c r="A250" s="10">
        <v>2014</v>
      </c>
      <c r="B250" s="11" t="s">
        <v>489</v>
      </c>
      <c r="C250" s="11" t="s">
        <v>490</v>
      </c>
      <c r="D250" s="12">
        <v>1002052</v>
      </c>
      <c r="E250" s="12">
        <v>2</v>
      </c>
      <c r="F250" s="12"/>
      <c r="G250" s="12">
        <v>560</v>
      </c>
      <c r="H250" s="12">
        <v>10.1</v>
      </c>
      <c r="I250" s="12"/>
      <c r="J250" s="12" t="s">
        <v>86</v>
      </c>
      <c r="K250" s="12" t="b">
        <v>0</v>
      </c>
      <c r="L250" s="12">
        <v>1</v>
      </c>
      <c r="M250" s="8">
        <v>2015</v>
      </c>
      <c r="N250" s="9">
        <v>0</v>
      </c>
      <c r="O250" s="9">
        <v>0</v>
      </c>
      <c r="P250" s="9">
        <v>0</v>
      </c>
      <c r="Q250" s="9">
        <v>0</v>
      </c>
      <c r="R250" s="13">
        <v>41717</v>
      </c>
      <c r="S250" s="13">
        <v>41717</v>
      </c>
    </row>
    <row r="251" spans="1:19">
      <c r="A251" s="10">
        <v>2014</v>
      </c>
      <c r="B251" s="11" t="s">
        <v>489</v>
      </c>
      <c r="C251" s="11" t="s">
        <v>490</v>
      </c>
      <c r="D251" s="12">
        <v>1002052</v>
      </c>
      <c r="E251" s="12">
        <v>2</v>
      </c>
      <c r="F251" s="12"/>
      <c r="G251" s="12">
        <v>750</v>
      </c>
      <c r="H251" s="12" t="s">
        <v>111</v>
      </c>
      <c r="I251" s="12"/>
      <c r="J251" s="12" t="s">
        <v>112</v>
      </c>
      <c r="K251" s="12" t="b">
        <v>0</v>
      </c>
      <c r="L251" s="12">
        <v>3</v>
      </c>
      <c r="M251" s="8">
        <v>2017</v>
      </c>
      <c r="N251" s="9">
        <v>0</v>
      </c>
      <c r="O251" s="9">
        <v>0</v>
      </c>
      <c r="P251" s="9">
        <v>145119.65</v>
      </c>
      <c r="Q251" s="9">
        <v>138833.24</v>
      </c>
      <c r="R251" s="13">
        <v>41717</v>
      </c>
      <c r="S251" s="13">
        <v>41717</v>
      </c>
    </row>
    <row r="252" spans="1:19">
      <c r="A252" s="10">
        <v>2014</v>
      </c>
      <c r="B252" s="11" t="s">
        <v>489</v>
      </c>
      <c r="C252" s="11" t="s">
        <v>490</v>
      </c>
      <c r="D252" s="12">
        <v>1002052</v>
      </c>
      <c r="E252" s="12">
        <v>2</v>
      </c>
      <c r="F252" s="12"/>
      <c r="G252" s="12">
        <v>970</v>
      </c>
      <c r="H252" s="12" t="s">
        <v>420</v>
      </c>
      <c r="I252" s="12"/>
      <c r="J252" s="12" t="s">
        <v>421</v>
      </c>
      <c r="K252" s="12" t="b">
        <v>1</v>
      </c>
      <c r="L252" s="12">
        <v>1</v>
      </c>
      <c r="M252" s="8">
        <v>2015</v>
      </c>
      <c r="N252" s="9">
        <v>0</v>
      </c>
      <c r="O252" s="9">
        <v>0</v>
      </c>
      <c r="P252" s="9">
        <v>0</v>
      </c>
      <c r="Q252" s="9">
        <v>0</v>
      </c>
      <c r="R252" s="13">
        <v>41717</v>
      </c>
      <c r="S252" s="13">
        <v>41717</v>
      </c>
    </row>
    <row r="253" spans="1:19">
      <c r="A253" s="10">
        <v>2014</v>
      </c>
      <c r="B253" s="11" t="s">
        <v>489</v>
      </c>
      <c r="C253" s="11" t="s">
        <v>490</v>
      </c>
      <c r="D253" s="12">
        <v>1002052</v>
      </c>
      <c r="E253" s="12">
        <v>2</v>
      </c>
      <c r="F253" s="12"/>
      <c r="G253" s="12">
        <v>700</v>
      </c>
      <c r="H253" s="12">
        <v>12.2</v>
      </c>
      <c r="I253" s="12"/>
      <c r="J253" s="12" t="s">
        <v>103</v>
      </c>
      <c r="K253" s="12" t="b">
        <v>0</v>
      </c>
      <c r="L253" s="12">
        <v>1</v>
      </c>
      <c r="M253" s="8">
        <v>2015</v>
      </c>
      <c r="N253" s="9">
        <v>1041937.3</v>
      </c>
      <c r="O253" s="9">
        <v>1013324.7</v>
      </c>
      <c r="P253" s="9">
        <v>421154</v>
      </c>
      <c r="Q253" s="9">
        <v>478204.67</v>
      </c>
      <c r="R253" s="13">
        <v>41717</v>
      </c>
      <c r="S253" s="13">
        <v>41717</v>
      </c>
    </row>
    <row r="254" spans="1:19">
      <c r="A254" s="10">
        <v>2014</v>
      </c>
      <c r="B254" s="11" t="s">
        <v>489</v>
      </c>
      <c r="C254" s="11" t="s">
        <v>490</v>
      </c>
      <c r="D254" s="12">
        <v>1002052</v>
      </c>
      <c r="E254" s="12">
        <v>2</v>
      </c>
      <c r="F254" s="12"/>
      <c r="G254" s="12">
        <v>230</v>
      </c>
      <c r="H254" s="12" t="s">
        <v>67</v>
      </c>
      <c r="I254" s="12"/>
      <c r="J254" s="12" t="s">
        <v>68</v>
      </c>
      <c r="K254" s="12" t="b">
        <v>0</v>
      </c>
      <c r="L254" s="12">
        <v>3</v>
      </c>
      <c r="M254" s="8">
        <v>2017</v>
      </c>
      <c r="N254" s="9">
        <v>0</v>
      </c>
      <c r="O254" s="9">
        <v>0</v>
      </c>
      <c r="P254" s="9">
        <v>0</v>
      </c>
      <c r="Q254" s="9">
        <v>247105.63</v>
      </c>
      <c r="R254" s="13">
        <v>41717</v>
      </c>
      <c r="S254" s="13">
        <v>41717</v>
      </c>
    </row>
    <row r="255" spans="1:19">
      <c r="A255" s="10">
        <v>2014</v>
      </c>
      <c r="B255" s="11" t="s">
        <v>489</v>
      </c>
      <c r="C255" s="11" t="s">
        <v>490</v>
      </c>
      <c r="D255" s="12">
        <v>1002052</v>
      </c>
      <c r="E255" s="12">
        <v>2</v>
      </c>
      <c r="F255" s="12"/>
      <c r="G255" s="12">
        <v>900</v>
      </c>
      <c r="H255" s="12">
        <v>14.3</v>
      </c>
      <c r="I255" s="12"/>
      <c r="J255" s="12" t="s">
        <v>129</v>
      </c>
      <c r="K255" s="12" t="b">
        <v>1</v>
      </c>
      <c r="L255" s="12">
        <v>3</v>
      </c>
      <c r="M255" s="8">
        <v>2017</v>
      </c>
      <c r="N255" s="9">
        <v>0</v>
      </c>
      <c r="O255" s="9">
        <v>0</v>
      </c>
      <c r="P255" s="9">
        <v>0</v>
      </c>
      <c r="Q255" s="9">
        <v>0</v>
      </c>
      <c r="R255" s="13">
        <v>41717</v>
      </c>
      <c r="S255" s="13">
        <v>41717</v>
      </c>
    </row>
    <row r="256" spans="1:19">
      <c r="A256" s="10">
        <v>2014</v>
      </c>
      <c r="B256" s="11" t="s">
        <v>489</v>
      </c>
      <c r="C256" s="11" t="s">
        <v>490</v>
      </c>
      <c r="D256" s="12">
        <v>1002052</v>
      </c>
      <c r="E256" s="12">
        <v>2</v>
      </c>
      <c r="F256" s="12"/>
      <c r="G256" s="12">
        <v>160</v>
      </c>
      <c r="H256" s="12" t="s">
        <v>62</v>
      </c>
      <c r="I256" s="12"/>
      <c r="J256" s="12" t="s">
        <v>365</v>
      </c>
      <c r="K256" s="12" t="b">
        <v>1</v>
      </c>
      <c r="L256" s="12">
        <v>0</v>
      </c>
      <c r="M256" s="8">
        <v>2014</v>
      </c>
      <c r="N256" s="9">
        <v>0</v>
      </c>
      <c r="O256" s="9">
        <v>0</v>
      </c>
      <c r="P256" s="9">
        <v>0</v>
      </c>
      <c r="Q256" s="9">
        <v>0</v>
      </c>
      <c r="R256" s="13">
        <v>41717</v>
      </c>
      <c r="S256" s="13">
        <v>41717</v>
      </c>
    </row>
    <row r="257" spans="1:19">
      <c r="A257" s="10">
        <v>2014</v>
      </c>
      <c r="B257" s="11" t="s">
        <v>489</v>
      </c>
      <c r="C257" s="11" t="s">
        <v>490</v>
      </c>
      <c r="D257" s="12">
        <v>1002052</v>
      </c>
      <c r="E257" s="12">
        <v>2</v>
      </c>
      <c r="F257" s="12"/>
      <c r="G257" s="12">
        <v>410</v>
      </c>
      <c r="H257" s="12">
        <v>8</v>
      </c>
      <c r="I257" s="12"/>
      <c r="J257" s="12" t="s">
        <v>146</v>
      </c>
      <c r="K257" s="12" t="b">
        <v>1</v>
      </c>
      <c r="L257" s="12">
        <v>0</v>
      </c>
      <c r="M257" s="8">
        <v>2014</v>
      </c>
      <c r="N257" s="9">
        <v>0</v>
      </c>
      <c r="O257" s="9">
        <v>0</v>
      </c>
      <c r="P257" s="9">
        <v>0</v>
      </c>
      <c r="Q257" s="9">
        <v>0</v>
      </c>
      <c r="R257" s="13">
        <v>41717</v>
      </c>
      <c r="S257" s="13">
        <v>41717</v>
      </c>
    </row>
    <row r="258" spans="1:19">
      <c r="A258" s="10">
        <v>2014</v>
      </c>
      <c r="B258" s="11" t="s">
        <v>489</v>
      </c>
      <c r="C258" s="11" t="s">
        <v>490</v>
      </c>
      <c r="D258" s="12">
        <v>1002052</v>
      </c>
      <c r="E258" s="12">
        <v>2</v>
      </c>
      <c r="F258" s="12"/>
      <c r="G258" s="12">
        <v>170</v>
      </c>
      <c r="H258" s="12" t="s">
        <v>63</v>
      </c>
      <c r="I258" s="12"/>
      <c r="J258" s="12" t="s">
        <v>366</v>
      </c>
      <c r="K258" s="12" t="b">
        <v>1</v>
      </c>
      <c r="L258" s="12">
        <v>1</v>
      </c>
      <c r="M258" s="8">
        <v>2015</v>
      </c>
      <c r="N258" s="9">
        <v>41411.769999999997</v>
      </c>
      <c r="O258" s="9">
        <v>84758.58</v>
      </c>
      <c r="P258" s="9">
        <v>95000</v>
      </c>
      <c r="Q258" s="9">
        <v>36975.83</v>
      </c>
      <c r="R258" s="13">
        <v>41717</v>
      </c>
      <c r="S258" s="13">
        <v>41717</v>
      </c>
    </row>
    <row r="259" spans="1:19">
      <c r="A259" s="10">
        <v>2014</v>
      </c>
      <c r="B259" s="11" t="s">
        <v>489</v>
      </c>
      <c r="C259" s="11" t="s">
        <v>490</v>
      </c>
      <c r="D259" s="12">
        <v>1002052</v>
      </c>
      <c r="E259" s="12">
        <v>2</v>
      </c>
      <c r="F259" s="12"/>
      <c r="G259" s="12">
        <v>200</v>
      </c>
      <c r="H259" s="12">
        <v>3</v>
      </c>
      <c r="I259" s="12" t="s">
        <v>372</v>
      </c>
      <c r="J259" s="12" t="s">
        <v>21</v>
      </c>
      <c r="K259" s="12" t="b">
        <v>0</v>
      </c>
      <c r="L259" s="12">
        <v>1</v>
      </c>
      <c r="M259" s="8">
        <v>2015</v>
      </c>
      <c r="N259" s="9">
        <v>-1100222.42</v>
      </c>
      <c r="O259" s="9">
        <v>2580481.7200000002</v>
      </c>
      <c r="P259" s="9">
        <v>-1113306.28</v>
      </c>
      <c r="Q259" s="9">
        <v>-1069250.1399999999</v>
      </c>
      <c r="R259" s="13">
        <v>41717</v>
      </c>
      <c r="S259" s="13">
        <v>41717</v>
      </c>
    </row>
    <row r="260" spans="1:19">
      <c r="A260" s="10">
        <v>2014</v>
      </c>
      <c r="B260" s="11" t="s">
        <v>489</v>
      </c>
      <c r="C260" s="11" t="s">
        <v>490</v>
      </c>
      <c r="D260" s="12">
        <v>1002052</v>
      </c>
      <c r="E260" s="12">
        <v>2</v>
      </c>
      <c r="F260" s="12"/>
      <c r="G260" s="12">
        <v>184</v>
      </c>
      <c r="H260" s="12" t="s">
        <v>370</v>
      </c>
      <c r="I260" s="12"/>
      <c r="J260" s="12" t="s">
        <v>371</v>
      </c>
      <c r="K260" s="12" t="b">
        <v>0</v>
      </c>
      <c r="L260" s="12">
        <v>1</v>
      </c>
      <c r="M260" s="8">
        <v>2015</v>
      </c>
      <c r="N260" s="9">
        <v>0</v>
      </c>
      <c r="O260" s="9">
        <v>0</v>
      </c>
      <c r="P260" s="9">
        <v>0</v>
      </c>
      <c r="Q260" s="9">
        <v>0</v>
      </c>
      <c r="R260" s="13">
        <v>41717</v>
      </c>
      <c r="S260" s="13">
        <v>41717</v>
      </c>
    </row>
    <row r="261" spans="1:19">
      <c r="A261" s="10">
        <v>2014</v>
      </c>
      <c r="B261" s="11" t="s">
        <v>489</v>
      </c>
      <c r="C261" s="11" t="s">
        <v>490</v>
      </c>
      <c r="D261" s="12">
        <v>1002052</v>
      </c>
      <c r="E261" s="12">
        <v>2</v>
      </c>
      <c r="F261" s="12"/>
      <c r="G261" s="12">
        <v>190</v>
      </c>
      <c r="H261" s="12">
        <v>2.2000000000000002</v>
      </c>
      <c r="I261" s="12"/>
      <c r="J261" s="12" t="s">
        <v>65</v>
      </c>
      <c r="K261" s="12" t="b">
        <v>0</v>
      </c>
      <c r="L261" s="12">
        <v>3</v>
      </c>
      <c r="M261" s="8">
        <v>2017</v>
      </c>
      <c r="N261" s="9">
        <v>3624050.32</v>
      </c>
      <c r="O261" s="9">
        <v>2425876</v>
      </c>
      <c r="P261" s="9">
        <v>4625376</v>
      </c>
      <c r="Q261" s="9">
        <v>4393188.7</v>
      </c>
      <c r="R261" s="13">
        <v>41717</v>
      </c>
      <c r="S261" s="13">
        <v>41717</v>
      </c>
    </row>
    <row r="262" spans="1:19">
      <c r="A262" s="10">
        <v>2014</v>
      </c>
      <c r="B262" s="11" t="s">
        <v>489</v>
      </c>
      <c r="C262" s="11" t="s">
        <v>490</v>
      </c>
      <c r="D262" s="12">
        <v>1002052</v>
      </c>
      <c r="E262" s="12">
        <v>2</v>
      </c>
      <c r="F262" s="12"/>
      <c r="G262" s="12">
        <v>580</v>
      </c>
      <c r="H262" s="12">
        <v>11.1</v>
      </c>
      <c r="I262" s="12"/>
      <c r="J262" s="12" t="s">
        <v>88</v>
      </c>
      <c r="K262" s="12" t="b">
        <v>0</v>
      </c>
      <c r="L262" s="12">
        <v>1</v>
      </c>
      <c r="M262" s="8">
        <v>2015</v>
      </c>
      <c r="N262" s="9">
        <v>4441226.62</v>
      </c>
      <c r="O262" s="9">
        <v>4171528.09</v>
      </c>
      <c r="P262" s="9">
        <v>4406547.84</v>
      </c>
      <c r="Q262" s="9">
        <v>4149289.86</v>
      </c>
      <c r="R262" s="13">
        <v>41717</v>
      </c>
      <c r="S262" s="13">
        <v>41717</v>
      </c>
    </row>
    <row r="263" spans="1:19">
      <c r="A263" s="10">
        <v>2014</v>
      </c>
      <c r="B263" s="11" t="s">
        <v>489</v>
      </c>
      <c r="C263" s="11" t="s">
        <v>490</v>
      </c>
      <c r="D263" s="12">
        <v>1002052</v>
      </c>
      <c r="E263" s="12">
        <v>2</v>
      </c>
      <c r="F263" s="12"/>
      <c r="G263" s="12">
        <v>550</v>
      </c>
      <c r="H263" s="12">
        <v>10</v>
      </c>
      <c r="I263" s="12"/>
      <c r="J263" s="12" t="s">
        <v>85</v>
      </c>
      <c r="K263" s="12" t="b">
        <v>0</v>
      </c>
      <c r="L263" s="12">
        <v>1</v>
      </c>
      <c r="M263" s="8">
        <v>2015</v>
      </c>
      <c r="N263" s="9">
        <v>0</v>
      </c>
      <c r="O263" s="9">
        <v>0</v>
      </c>
      <c r="P263" s="9">
        <v>0</v>
      </c>
      <c r="Q263" s="9">
        <v>0</v>
      </c>
      <c r="R263" s="13">
        <v>41717</v>
      </c>
      <c r="S263" s="13">
        <v>41717</v>
      </c>
    </row>
    <row r="264" spans="1:19">
      <c r="A264" s="10">
        <v>2014</v>
      </c>
      <c r="B264" s="11" t="s">
        <v>489</v>
      </c>
      <c r="C264" s="11" t="s">
        <v>490</v>
      </c>
      <c r="D264" s="12">
        <v>1002052</v>
      </c>
      <c r="E264" s="12">
        <v>2</v>
      </c>
      <c r="F264" s="12"/>
      <c r="G264" s="12">
        <v>770</v>
      </c>
      <c r="H264" s="12" t="s">
        <v>415</v>
      </c>
      <c r="I264" s="12"/>
      <c r="J264" s="12" t="s">
        <v>406</v>
      </c>
      <c r="K264" s="12" t="b">
        <v>1</v>
      </c>
      <c r="L264" s="12">
        <v>2</v>
      </c>
      <c r="M264" s="8">
        <v>2016</v>
      </c>
      <c r="N264" s="9">
        <v>0</v>
      </c>
      <c r="O264" s="9">
        <v>0</v>
      </c>
      <c r="P264" s="9">
        <v>0</v>
      </c>
      <c r="Q264" s="9">
        <v>0</v>
      </c>
      <c r="R264" s="13">
        <v>41717</v>
      </c>
      <c r="S264" s="13">
        <v>41717</v>
      </c>
    </row>
    <row r="265" spans="1:19">
      <c r="A265" s="10">
        <v>2014</v>
      </c>
      <c r="B265" s="11" t="s">
        <v>489</v>
      </c>
      <c r="C265" s="11" t="s">
        <v>490</v>
      </c>
      <c r="D265" s="12">
        <v>1002052</v>
      </c>
      <c r="E265" s="12">
        <v>2</v>
      </c>
      <c r="F265" s="12"/>
      <c r="G265" s="12">
        <v>763</v>
      </c>
      <c r="H265" s="12">
        <v>12.5</v>
      </c>
      <c r="I265" s="12"/>
      <c r="J265" s="12" t="s">
        <v>404</v>
      </c>
      <c r="K265" s="12" t="b">
        <v>1</v>
      </c>
      <c r="L265" s="12">
        <v>1</v>
      </c>
      <c r="M265" s="8">
        <v>2015</v>
      </c>
      <c r="N265" s="9">
        <v>0</v>
      </c>
      <c r="O265" s="9">
        <v>0</v>
      </c>
      <c r="P265" s="9">
        <v>0</v>
      </c>
      <c r="Q265" s="9">
        <v>0</v>
      </c>
      <c r="R265" s="13">
        <v>41717</v>
      </c>
      <c r="S265" s="13">
        <v>41717</v>
      </c>
    </row>
    <row r="266" spans="1:19">
      <c r="A266" s="10">
        <v>2014</v>
      </c>
      <c r="B266" s="11" t="s">
        <v>489</v>
      </c>
      <c r="C266" s="11" t="s">
        <v>490</v>
      </c>
      <c r="D266" s="12">
        <v>1002052</v>
      </c>
      <c r="E266" s="12">
        <v>2</v>
      </c>
      <c r="F266" s="12"/>
      <c r="G266" s="12">
        <v>400</v>
      </c>
      <c r="H266" s="12">
        <v>7</v>
      </c>
      <c r="I266" s="12"/>
      <c r="J266" s="12" t="s">
        <v>81</v>
      </c>
      <c r="K266" s="12" t="b">
        <v>1</v>
      </c>
      <c r="L266" s="12">
        <v>0</v>
      </c>
      <c r="M266" s="8">
        <v>2014</v>
      </c>
      <c r="N266" s="9">
        <v>0</v>
      </c>
      <c r="O266" s="9">
        <v>0</v>
      </c>
      <c r="P266" s="9">
        <v>0</v>
      </c>
      <c r="Q266" s="9">
        <v>0</v>
      </c>
      <c r="R266" s="13">
        <v>41717</v>
      </c>
      <c r="S266" s="13">
        <v>41717</v>
      </c>
    </row>
    <row r="267" spans="1:19">
      <c r="A267" s="10">
        <v>2014</v>
      </c>
      <c r="B267" s="11" t="s">
        <v>489</v>
      </c>
      <c r="C267" s="11" t="s">
        <v>490</v>
      </c>
      <c r="D267" s="12">
        <v>1002052</v>
      </c>
      <c r="E267" s="12">
        <v>2</v>
      </c>
      <c r="F267" s="12"/>
      <c r="G267" s="12">
        <v>300</v>
      </c>
      <c r="H267" s="12">
        <v>5</v>
      </c>
      <c r="I267" s="12" t="s">
        <v>374</v>
      </c>
      <c r="J267" s="12" t="s">
        <v>76</v>
      </c>
      <c r="K267" s="12" t="b">
        <v>0</v>
      </c>
      <c r="L267" s="12">
        <v>3</v>
      </c>
      <c r="M267" s="8">
        <v>2017</v>
      </c>
      <c r="N267" s="9">
        <v>601088.34</v>
      </c>
      <c r="O267" s="9">
        <v>1303202.75</v>
      </c>
      <c r="P267" s="9">
        <v>737521.46</v>
      </c>
      <c r="Q267" s="9">
        <v>737521.46</v>
      </c>
      <c r="R267" s="13">
        <v>41717</v>
      </c>
      <c r="S267" s="13">
        <v>41717</v>
      </c>
    </row>
    <row r="268" spans="1:19">
      <c r="A268" s="10">
        <v>2014</v>
      </c>
      <c r="B268" s="11" t="s">
        <v>489</v>
      </c>
      <c r="C268" s="11" t="s">
        <v>490</v>
      </c>
      <c r="D268" s="12">
        <v>1002052</v>
      </c>
      <c r="E268" s="12">
        <v>2</v>
      </c>
      <c r="F268" s="12"/>
      <c r="G268" s="12">
        <v>184</v>
      </c>
      <c r="H268" s="12" t="s">
        <v>370</v>
      </c>
      <c r="I268" s="12"/>
      <c r="J268" s="12" t="s">
        <v>371</v>
      </c>
      <c r="K268" s="12" t="b">
        <v>0</v>
      </c>
      <c r="L268" s="12">
        <v>2</v>
      </c>
      <c r="M268" s="8">
        <v>2016</v>
      </c>
      <c r="N268" s="9">
        <v>0</v>
      </c>
      <c r="O268" s="9">
        <v>0</v>
      </c>
      <c r="P268" s="9">
        <v>0</v>
      </c>
      <c r="Q268" s="9">
        <v>0</v>
      </c>
      <c r="R268" s="13">
        <v>41717</v>
      </c>
      <c r="S268" s="13">
        <v>41717</v>
      </c>
    </row>
    <row r="269" spans="1:19">
      <c r="A269" s="10">
        <v>2014</v>
      </c>
      <c r="B269" s="11" t="s">
        <v>489</v>
      </c>
      <c r="C269" s="11" t="s">
        <v>490</v>
      </c>
      <c r="D269" s="12">
        <v>1002052</v>
      </c>
      <c r="E269" s="12">
        <v>2</v>
      </c>
      <c r="F269" s="12"/>
      <c r="G269" s="12">
        <v>508</v>
      </c>
      <c r="H269" s="12">
        <v>9.5</v>
      </c>
      <c r="I269" s="12" t="s">
        <v>392</v>
      </c>
      <c r="J269" s="12" t="s">
        <v>393</v>
      </c>
      <c r="K269" s="12" t="b">
        <v>0</v>
      </c>
      <c r="L269" s="12">
        <v>0</v>
      </c>
      <c r="M269" s="8">
        <v>2014</v>
      </c>
      <c r="N269" s="9">
        <v>9.5100000000000004E-2</v>
      </c>
      <c r="O269" s="9">
        <v>0.26129999999999998</v>
      </c>
      <c r="P269" s="9">
        <v>0.2104</v>
      </c>
      <c r="Q269" s="9">
        <v>0.20380000000000001</v>
      </c>
      <c r="R269" s="13">
        <v>41717</v>
      </c>
      <c r="S269" s="13">
        <v>41717</v>
      </c>
    </row>
    <row r="270" spans="1:19">
      <c r="A270" s="10">
        <v>2014</v>
      </c>
      <c r="B270" s="11" t="s">
        <v>489</v>
      </c>
      <c r="C270" s="11" t="s">
        <v>490</v>
      </c>
      <c r="D270" s="12">
        <v>1002052</v>
      </c>
      <c r="E270" s="12">
        <v>2</v>
      </c>
      <c r="F270" s="12"/>
      <c r="G270" s="12">
        <v>600</v>
      </c>
      <c r="H270" s="12">
        <v>11.3</v>
      </c>
      <c r="I270" s="12" t="s">
        <v>401</v>
      </c>
      <c r="J270" s="12" t="s">
        <v>402</v>
      </c>
      <c r="K270" s="12" t="b">
        <v>1</v>
      </c>
      <c r="L270" s="12">
        <v>0</v>
      </c>
      <c r="M270" s="8">
        <v>2014</v>
      </c>
      <c r="N270" s="9">
        <v>1480853.69</v>
      </c>
      <c r="O270" s="9">
        <v>718974.51</v>
      </c>
      <c r="P270" s="9">
        <v>3546636.65</v>
      </c>
      <c r="Q270" s="9">
        <v>3319528.6</v>
      </c>
      <c r="R270" s="13">
        <v>41717</v>
      </c>
      <c r="S270" s="13">
        <v>41717</v>
      </c>
    </row>
    <row r="271" spans="1:19">
      <c r="A271" s="10">
        <v>2014</v>
      </c>
      <c r="B271" s="11" t="s">
        <v>489</v>
      </c>
      <c r="C271" s="11" t="s">
        <v>490</v>
      </c>
      <c r="D271" s="12">
        <v>1002052</v>
      </c>
      <c r="E271" s="12">
        <v>2</v>
      </c>
      <c r="F271" s="12"/>
      <c r="G271" s="12">
        <v>340</v>
      </c>
      <c r="H271" s="12">
        <v>5.2</v>
      </c>
      <c r="I271" s="12"/>
      <c r="J271" s="12" t="s">
        <v>80</v>
      </c>
      <c r="K271" s="12" t="b">
        <v>0</v>
      </c>
      <c r="L271" s="12">
        <v>0</v>
      </c>
      <c r="M271" s="8">
        <v>2014</v>
      </c>
      <c r="N271" s="9">
        <v>0</v>
      </c>
      <c r="O271" s="9">
        <v>24682</v>
      </c>
      <c r="P271" s="9">
        <v>0</v>
      </c>
      <c r="Q271" s="9">
        <v>0</v>
      </c>
      <c r="R271" s="13">
        <v>41717</v>
      </c>
      <c r="S271" s="13">
        <v>41717</v>
      </c>
    </row>
    <row r="272" spans="1:19">
      <c r="A272" s="10">
        <v>2014</v>
      </c>
      <c r="B272" s="11" t="s">
        <v>489</v>
      </c>
      <c r="C272" s="11" t="s">
        <v>490</v>
      </c>
      <c r="D272" s="12">
        <v>1002052</v>
      </c>
      <c r="E272" s="12">
        <v>2</v>
      </c>
      <c r="F272" s="12"/>
      <c r="G272" s="12">
        <v>240</v>
      </c>
      <c r="H272" s="12">
        <v>4.2</v>
      </c>
      <c r="I272" s="12"/>
      <c r="J272" s="12" t="s">
        <v>69</v>
      </c>
      <c r="K272" s="12" t="b">
        <v>0</v>
      </c>
      <c r="L272" s="12">
        <v>2</v>
      </c>
      <c r="M272" s="8">
        <v>2016</v>
      </c>
      <c r="N272" s="9">
        <v>186016.39</v>
      </c>
      <c r="O272" s="9">
        <v>902519.37</v>
      </c>
      <c r="P272" s="9">
        <v>1422477.65</v>
      </c>
      <c r="Q272" s="9">
        <v>1422477.65</v>
      </c>
      <c r="R272" s="13">
        <v>41717</v>
      </c>
      <c r="S272" s="13">
        <v>41717</v>
      </c>
    </row>
    <row r="273" spans="1:19">
      <c r="A273" s="10">
        <v>2014</v>
      </c>
      <c r="B273" s="11" t="s">
        <v>489</v>
      </c>
      <c r="C273" s="11" t="s">
        <v>490</v>
      </c>
      <c r="D273" s="12">
        <v>1002052</v>
      </c>
      <c r="E273" s="12">
        <v>2</v>
      </c>
      <c r="F273" s="12"/>
      <c r="G273" s="12">
        <v>830</v>
      </c>
      <c r="H273" s="12">
        <v>13.4</v>
      </c>
      <c r="I273" s="12"/>
      <c r="J273" s="12" t="s">
        <v>122</v>
      </c>
      <c r="K273" s="12" t="b">
        <v>1</v>
      </c>
      <c r="L273" s="12">
        <v>1</v>
      </c>
      <c r="M273" s="8">
        <v>2015</v>
      </c>
      <c r="N273" s="9">
        <v>0</v>
      </c>
      <c r="O273" s="9">
        <v>0</v>
      </c>
      <c r="P273" s="9">
        <v>0</v>
      </c>
      <c r="Q273" s="9">
        <v>0</v>
      </c>
      <c r="R273" s="13">
        <v>41717</v>
      </c>
      <c r="S273" s="13">
        <v>41717</v>
      </c>
    </row>
    <row r="274" spans="1:19">
      <c r="A274" s="10">
        <v>2014</v>
      </c>
      <c r="B274" s="11" t="s">
        <v>489</v>
      </c>
      <c r="C274" s="11" t="s">
        <v>490</v>
      </c>
      <c r="D274" s="12">
        <v>1002052</v>
      </c>
      <c r="E274" s="12">
        <v>2</v>
      </c>
      <c r="F274" s="12"/>
      <c r="G274" s="12">
        <v>10</v>
      </c>
      <c r="H274" s="12">
        <v>1</v>
      </c>
      <c r="I274" s="12" t="s">
        <v>492</v>
      </c>
      <c r="J274" s="12" t="s">
        <v>24</v>
      </c>
      <c r="K274" s="12" t="b">
        <v>1</v>
      </c>
      <c r="L274" s="12">
        <v>2</v>
      </c>
      <c r="M274" s="8">
        <v>2016</v>
      </c>
      <c r="N274" s="9">
        <v>11735693.560000001</v>
      </c>
      <c r="O274" s="9">
        <v>14062028.15</v>
      </c>
      <c r="P274" s="9">
        <v>13471394.42</v>
      </c>
      <c r="Q274" s="9">
        <v>12708280.6</v>
      </c>
      <c r="R274" s="13">
        <v>41717</v>
      </c>
      <c r="S274" s="13">
        <v>41717</v>
      </c>
    </row>
    <row r="275" spans="1:19">
      <c r="A275" s="10">
        <v>2014</v>
      </c>
      <c r="B275" s="11" t="s">
        <v>489</v>
      </c>
      <c r="C275" s="11" t="s">
        <v>490</v>
      </c>
      <c r="D275" s="12">
        <v>1002052</v>
      </c>
      <c r="E275" s="12">
        <v>2</v>
      </c>
      <c r="F275" s="12"/>
      <c r="G275" s="12">
        <v>350</v>
      </c>
      <c r="H275" s="12">
        <v>6</v>
      </c>
      <c r="I275" s="12"/>
      <c r="J275" s="12" t="s">
        <v>25</v>
      </c>
      <c r="K275" s="12" t="b">
        <v>1</v>
      </c>
      <c r="L275" s="12">
        <v>1</v>
      </c>
      <c r="M275" s="8">
        <v>2015</v>
      </c>
      <c r="N275" s="9">
        <v>2552998.4</v>
      </c>
      <c r="O275" s="9">
        <v>1422477.65</v>
      </c>
      <c r="P275" s="9">
        <v>773956.19</v>
      </c>
      <c r="Q275" s="9">
        <v>773956.19</v>
      </c>
      <c r="R275" s="13">
        <v>41717</v>
      </c>
      <c r="S275" s="13">
        <v>41717</v>
      </c>
    </row>
    <row r="276" spans="1:19">
      <c r="A276" s="10">
        <v>2014</v>
      </c>
      <c r="B276" s="11" t="s">
        <v>489</v>
      </c>
      <c r="C276" s="11" t="s">
        <v>490</v>
      </c>
      <c r="D276" s="12">
        <v>1002052</v>
      </c>
      <c r="E276" s="12">
        <v>2</v>
      </c>
      <c r="F276" s="12"/>
      <c r="G276" s="12">
        <v>220</v>
      </c>
      <c r="H276" s="12">
        <v>4.0999999999999996</v>
      </c>
      <c r="I276" s="12"/>
      <c r="J276" s="12" t="s">
        <v>66</v>
      </c>
      <c r="K276" s="12" t="b">
        <v>0</v>
      </c>
      <c r="L276" s="12">
        <v>3</v>
      </c>
      <c r="M276" s="8">
        <v>2017</v>
      </c>
      <c r="N276" s="9">
        <v>0</v>
      </c>
      <c r="O276" s="9">
        <v>0</v>
      </c>
      <c r="P276" s="9">
        <v>314668.09000000003</v>
      </c>
      <c r="Q276" s="9">
        <v>959945.09</v>
      </c>
      <c r="R276" s="13">
        <v>41717</v>
      </c>
      <c r="S276" s="13">
        <v>41717</v>
      </c>
    </row>
    <row r="277" spans="1:19">
      <c r="A277" s="10">
        <v>2014</v>
      </c>
      <c r="B277" s="11" t="s">
        <v>489</v>
      </c>
      <c r="C277" s="11" t="s">
        <v>490</v>
      </c>
      <c r="D277" s="12">
        <v>1002052</v>
      </c>
      <c r="E277" s="12">
        <v>2</v>
      </c>
      <c r="F277" s="12"/>
      <c r="G277" s="12">
        <v>110</v>
      </c>
      <c r="H277" s="12" t="s">
        <v>56</v>
      </c>
      <c r="I277" s="12"/>
      <c r="J277" s="12" t="s">
        <v>57</v>
      </c>
      <c r="K277" s="12" t="b">
        <v>1</v>
      </c>
      <c r="L277" s="12">
        <v>3</v>
      </c>
      <c r="M277" s="8">
        <v>2017</v>
      </c>
      <c r="N277" s="9">
        <v>1405937.3</v>
      </c>
      <c r="O277" s="9">
        <v>1332324.7</v>
      </c>
      <c r="P277" s="9">
        <v>664102</v>
      </c>
      <c r="Q277" s="9">
        <v>720552.67</v>
      </c>
      <c r="R277" s="13">
        <v>41717</v>
      </c>
      <c r="S277" s="13">
        <v>41717</v>
      </c>
    </row>
    <row r="278" spans="1:19">
      <c r="A278" s="10">
        <v>2014</v>
      </c>
      <c r="B278" s="11" t="s">
        <v>489</v>
      </c>
      <c r="C278" s="11" t="s">
        <v>490</v>
      </c>
      <c r="D278" s="12">
        <v>1002052</v>
      </c>
      <c r="E278" s="12">
        <v>2</v>
      </c>
      <c r="F278" s="12"/>
      <c r="G278" s="12">
        <v>930</v>
      </c>
      <c r="H278" s="12" t="s">
        <v>133</v>
      </c>
      <c r="I278" s="12"/>
      <c r="J278" s="12" t="s">
        <v>134</v>
      </c>
      <c r="K278" s="12" t="b">
        <v>1</v>
      </c>
      <c r="L278" s="12">
        <v>1</v>
      </c>
      <c r="M278" s="8">
        <v>2015</v>
      </c>
      <c r="N278" s="9">
        <v>0</v>
      </c>
      <c r="O278" s="9">
        <v>0</v>
      </c>
      <c r="P278" s="9">
        <v>0</v>
      </c>
      <c r="Q278" s="9">
        <v>0</v>
      </c>
      <c r="R278" s="13">
        <v>41717</v>
      </c>
      <c r="S278" s="13">
        <v>41717</v>
      </c>
    </row>
    <row r="279" spans="1:19">
      <c r="A279" s="10">
        <v>2014</v>
      </c>
      <c r="B279" s="11" t="s">
        <v>489</v>
      </c>
      <c r="C279" s="11" t="s">
        <v>490</v>
      </c>
      <c r="D279" s="12">
        <v>1002052</v>
      </c>
      <c r="E279" s="12">
        <v>2</v>
      </c>
      <c r="F279" s="12"/>
      <c r="G279" s="12">
        <v>332</v>
      </c>
      <c r="H279" s="12" t="s">
        <v>79</v>
      </c>
      <c r="I279" s="12"/>
      <c r="J279" s="12" t="s">
        <v>377</v>
      </c>
      <c r="K279" s="12" t="b">
        <v>1</v>
      </c>
      <c r="L279" s="12">
        <v>0</v>
      </c>
      <c r="M279" s="8">
        <v>2014</v>
      </c>
      <c r="N279" s="9">
        <v>552822</v>
      </c>
      <c r="O279" s="9">
        <v>595645.15</v>
      </c>
      <c r="P279" s="9">
        <v>0</v>
      </c>
      <c r="Q279" s="9">
        <v>0</v>
      </c>
      <c r="R279" s="13">
        <v>41717</v>
      </c>
      <c r="S279" s="13">
        <v>41717</v>
      </c>
    </row>
    <row r="280" spans="1:19">
      <c r="A280" s="10">
        <v>2014</v>
      </c>
      <c r="B280" s="11" t="s">
        <v>489</v>
      </c>
      <c r="C280" s="11" t="s">
        <v>490</v>
      </c>
      <c r="D280" s="12">
        <v>1002052</v>
      </c>
      <c r="E280" s="12">
        <v>2</v>
      </c>
      <c r="F280" s="12"/>
      <c r="G280" s="12">
        <v>767</v>
      </c>
      <c r="H280" s="12">
        <v>12.7</v>
      </c>
      <c r="I280" s="12"/>
      <c r="J280" s="12" t="s">
        <v>411</v>
      </c>
      <c r="K280" s="12" t="b">
        <v>1</v>
      </c>
      <c r="L280" s="12">
        <v>3</v>
      </c>
      <c r="M280" s="8">
        <v>2017</v>
      </c>
      <c r="N280" s="9">
        <v>0</v>
      </c>
      <c r="O280" s="9">
        <v>0</v>
      </c>
      <c r="P280" s="9">
        <v>0</v>
      </c>
      <c r="Q280" s="9">
        <v>0</v>
      </c>
      <c r="R280" s="13">
        <v>41717</v>
      </c>
      <c r="S280" s="13">
        <v>41717</v>
      </c>
    </row>
    <row r="281" spans="1:19">
      <c r="A281" s="10">
        <v>2014</v>
      </c>
      <c r="B281" s="11" t="s">
        <v>489</v>
      </c>
      <c r="C281" s="11" t="s">
        <v>490</v>
      </c>
      <c r="D281" s="12">
        <v>1002052</v>
      </c>
      <c r="E281" s="12">
        <v>2</v>
      </c>
      <c r="F281" s="12"/>
      <c r="G281" s="12">
        <v>120</v>
      </c>
      <c r="H281" s="12">
        <v>2</v>
      </c>
      <c r="I281" s="12" t="s">
        <v>491</v>
      </c>
      <c r="J281" s="12" t="s">
        <v>19</v>
      </c>
      <c r="K281" s="12" t="b">
        <v>0</v>
      </c>
      <c r="L281" s="12">
        <v>1</v>
      </c>
      <c r="M281" s="8">
        <v>2015</v>
      </c>
      <c r="N281" s="9">
        <v>12835915.98</v>
      </c>
      <c r="O281" s="9">
        <v>11481546.43</v>
      </c>
      <c r="P281" s="9">
        <v>14584700.699999999</v>
      </c>
      <c r="Q281" s="9">
        <v>13777530.74</v>
      </c>
      <c r="R281" s="13">
        <v>41717</v>
      </c>
      <c r="S281" s="13">
        <v>41717</v>
      </c>
    </row>
    <row r="282" spans="1:19">
      <c r="A282" s="10">
        <v>2014</v>
      </c>
      <c r="B282" s="11" t="s">
        <v>489</v>
      </c>
      <c r="C282" s="11" t="s">
        <v>490</v>
      </c>
      <c r="D282" s="12">
        <v>1002052</v>
      </c>
      <c r="E282" s="12">
        <v>2</v>
      </c>
      <c r="F282" s="12"/>
      <c r="G282" s="12">
        <v>820</v>
      </c>
      <c r="H282" s="12">
        <v>13.3</v>
      </c>
      <c r="I282" s="12"/>
      <c r="J282" s="12" t="s">
        <v>121</v>
      </c>
      <c r="K282" s="12" t="b">
        <v>1</v>
      </c>
      <c r="L282" s="12">
        <v>0</v>
      </c>
      <c r="M282" s="8">
        <v>2014</v>
      </c>
      <c r="N282" s="9">
        <v>0</v>
      </c>
      <c r="O282" s="9">
        <v>0</v>
      </c>
      <c r="P282" s="9">
        <v>0</v>
      </c>
      <c r="Q282" s="9">
        <v>0</v>
      </c>
      <c r="R282" s="13">
        <v>41717</v>
      </c>
      <c r="S282" s="13">
        <v>41717</v>
      </c>
    </row>
    <row r="283" spans="1:19">
      <c r="A283" s="10">
        <v>2014</v>
      </c>
      <c r="B283" s="11" t="s">
        <v>489</v>
      </c>
      <c r="C283" s="11" t="s">
        <v>490</v>
      </c>
      <c r="D283" s="12">
        <v>1002052</v>
      </c>
      <c r="E283" s="12">
        <v>2</v>
      </c>
      <c r="F283" s="12"/>
      <c r="G283" s="12">
        <v>400</v>
      </c>
      <c r="H283" s="12">
        <v>7</v>
      </c>
      <c r="I283" s="12"/>
      <c r="J283" s="12" t="s">
        <v>81</v>
      </c>
      <c r="K283" s="12" t="b">
        <v>1</v>
      </c>
      <c r="L283" s="12">
        <v>3</v>
      </c>
      <c r="M283" s="8">
        <v>2017</v>
      </c>
      <c r="N283" s="9">
        <v>0</v>
      </c>
      <c r="O283" s="9">
        <v>0</v>
      </c>
      <c r="P283" s="9">
        <v>0</v>
      </c>
      <c r="Q283" s="9">
        <v>0</v>
      </c>
      <c r="R283" s="13">
        <v>41717</v>
      </c>
      <c r="S283" s="13">
        <v>41717</v>
      </c>
    </row>
    <row r="284" spans="1:19">
      <c r="A284" s="10">
        <v>2014</v>
      </c>
      <c r="B284" s="11" t="s">
        <v>489</v>
      </c>
      <c r="C284" s="11" t="s">
        <v>490</v>
      </c>
      <c r="D284" s="12">
        <v>1002052</v>
      </c>
      <c r="E284" s="12">
        <v>2</v>
      </c>
      <c r="F284" s="12"/>
      <c r="G284" s="12">
        <v>766</v>
      </c>
      <c r="H284" s="12" t="s">
        <v>409</v>
      </c>
      <c r="I284" s="12"/>
      <c r="J284" s="12" t="s">
        <v>406</v>
      </c>
      <c r="K284" s="12" t="b">
        <v>1</v>
      </c>
      <c r="L284" s="12">
        <v>0</v>
      </c>
      <c r="M284" s="8">
        <v>2014</v>
      </c>
      <c r="N284" s="9">
        <v>0</v>
      </c>
      <c r="O284" s="9">
        <v>0</v>
      </c>
      <c r="P284" s="9">
        <v>0</v>
      </c>
      <c r="Q284" s="9">
        <v>0</v>
      </c>
      <c r="R284" s="13">
        <v>41717</v>
      </c>
      <c r="S284" s="13">
        <v>41717</v>
      </c>
    </row>
    <row r="285" spans="1:19">
      <c r="A285" s="10">
        <v>2014</v>
      </c>
      <c r="B285" s="11" t="s">
        <v>489</v>
      </c>
      <c r="C285" s="11" t="s">
        <v>490</v>
      </c>
      <c r="D285" s="12">
        <v>1002052</v>
      </c>
      <c r="E285" s="12">
        <v>2</v>
      </c>
      <c r="F285" s="12"/>
      <c r="G285" s="12">
        <v>766</v>
      </c>
      <c r="H285" s="12" t="s">
        <v>409</v>
      </c>
      <c r="I285" s="12"/>
      <c r="J285" s="12" t="s">
        <v>406</v>
      </c>
      <c r="K285" s="12" t="b">
        <v>1</v>
      </c>
      <c r="L285" s="12">
        <v>2</v>
      </c>
      <c r="M285" s="8">
        <v>2016</v>
      </c>
      <c r="N285" s="9">
        <v>0</v>
      </c>
      <c r="O285" s="9">
        <v>0</v>
      </c>
      <c r="P285" s="9">
        <v>0</v>
      </c>
      <c r="Q285" s="9">
        <v>0</v>
      </c>
      <c r="R285" s="13">
        <v>41717</v>
      </c>
      <c r="S285" s="13">
        <v>41717</v>
      </c>
    </row>
    <row r="286" spans="1:19">
      <c r="A286" s="10">
        <v>2014</v>
      </c>
      <c r="B286" s="11" t="s">
        <v>489</v>
      </c>
      <c r="C286" s="11" t="s">
        <v>490</v>
      </c>
      <c r="D286" s="12">
        <v>1002052</v>
      </c>
      <c r="E286" s="12">
        <v>2</v>
      </c>
      <c r="F286" s="12"/>
      <c r="G286" s="12">
        <v>650</v>
      </c>
      <c r="H286" s="12">
        <v>11.6</v>
      </c>
      <c r="I286" s="12"/>
      <c r="J286" s="12" t="s">
        <v>96</v>
      </c>
      <c r="K286" s="12" t="b">
        <v>1</v>
      </c>
      <c r="L286" s="12">
        <v>1</v>
      </c>
      <c r="M286" s="8">
        <v>2015</v>
      </c>
      <c r="N286" s="9">
        <v>0</v>
      </c>
      <c r="O286" s="9">
        <v>0</v>
      </c>
      <c r="P286" s="9">
        <v>39000</v>
      </c>
      <c r="Q286" s="9">
        <v>27700</v>
      </c>
      <c r="R286" s="13">
        <v>41717</v>
      </c>
      <c r="S286" s="13">
        <v>41717</v>
      </c>
    </row>
    <row r="287" spans="1:19">
      <c r="A287" s="10">
        <v>2014</v>
      </c>
      <c r="B287" s="11" t="s">
        <v>489</v>
      </c>
      <c r="C287" s="11" t="s">
        <v>490</v>
      </c>
      <c r="D287" s="12">
        <v>1002052</v>
      </c>
      <c r="E287" s="12">
        <v>2</v>
      </c>
      <c r="F287" s="12"/>
      <c r="G287" s="12">
        <v>570</v>
      </c>
      <c r="H287" s="12">
        <v>11</v>
      </c>
      <c r="I287" s="12"/>
      <c r="J287" s="12" t="s">
        <v>87</v>
      </c>
      <c r="K287" s="12" t="b">
        <v>0</v>
      </c>
      <c r="L287" s="12">
        <v>2</v>
      </c>
      <c r="M287" s="8">
        <v>2016</v>
      </c>
      <c r="N287" s="9">
        <v>0</v>
      </c>
      <c r="O287" s="9">
        <v>0</v>
      </c>
      <c r="P287" s="9">
        <v>0</v>
      </c>
      <c r="Q287" s="9">
        <v>0</v>
      </c>
      <c r="R287" s="13">
        <v>41717</v>
      </c>
      <c r="S287" s="13">
        <v>41717</v>
      </c>
    </row>
    <row r="288" spans="1:19">
      <c r="A288" s="10">
        <v>2014</v>
      </c>
      <c r="B288" s="11" t="s">
        <v>489</v>
      </c>
      <c r="C288" s="11" t="s">
        <v>490</v>
      </c>
      <c r="D288" s="12">
        <v>1002052</v>
      </c>
      <c r="E288" s="12">
        <v>2</v>
      </c>
      <c r="F288" s="12"/>
      <c r="G288" s="12">
        <v>240</v>
      </c>
      <c r="H288" s="12">
        <v>4.2</v>
      </c>
      <c r="I288" s="12"/>
      <c r="J288" s="12" t="s">
        <v>69</v>
      </c>
      <c r="K288" s="12" t="b">
        <v>0</v>
      </c>
      <c r="L288" s="12">
        <v>1</v>
      </c>
      <c r="M288" s="8">
        <v>2015</v>
      </c>
      <c r="N288" s="9">
        <v>186016.39</v>
      </c>
      <c r="O288" s="9">
        <v>902519.37</v>
      </c>
      <c r="P288" s="9">
        <v>1422477.65</v>
      </c>
      <c r="Q288" s="9">
        <v>1422477.65</v>
      </c>
      <c r="R288" s="13">
        <v>41717</v>
      </c>
      <c r="S288" s="13">
        <v>41717</v>
      </c>
    </row>
    <row r="289" spans="1:19">
      <c r="A289" s="10">
        <v>2014</v>
      </c>
      <c r="B289" s="11" t="s">
        <v>489</v>
      </c>
      <c r="C289" s="11" t="s">
        <v>490</v>
      </c>
      <c r="D289" s="12">
        <v>1002052</v>
      </c>
      <c r="E289" s="12">
        <v>2</v>
      </c>
      <c r="F289" s="12"/>
      <c r="G289" s="12">
        <v>60</v>
      </c>
      <c r="H289" s="12" t="s">
        <v>47</v>
      </c>
      <c r="I289" s="12"/>
      <c r="J289" s="12" t="s">
        <v>48</v>
      </c>
      <c r="K289" s="12" t="b">
        <v>1</v>
      </c>
      <c r="L289" s="12">
        <v>3</v>
      </c>
      <c r="M289" s="8">
        <v>2017</v>
      </c>
      <c r="N289" s="9">
        <v>849319.19</v>
      </c>
      <c r="O289" s="9">
        <v>1608877.11</v>
      </c>
      <c r="P289" s="9">
        <v>1644617.4</v>
      </c>
      <c r="Q289" s="9">
        <v>1467888.16</v>
      </c>
      <c r="R289" s="13">
        <v>41717</v>
      </c>
      <c r="S289" s="13">
        <v>41717</v>
      </c>
    </row>
    <row r="290" spans="1:19">
      <c r="A290" s="10">
        <v>2014</v>
      </c>
      <c r="B290" s="11" t="s">
        <v>489</v>
      </c>
      <c r="C290" s="11" t="s">
        <v>490</v>
      </c>
      <c r="D290" s="12">
        <v>1002052</v>
      </c>
      <c r="E290" s="12">
        <v>2</v>
      </c>
      <c r="F290" s="12"/>
      <c r="G290" s="12">
        <v>768</v>
      </c>
      <c r="H290" s="12" t="s">
        <v>412</v>
      </c>
      <c r="I290" s="12"/>
      <c r="J290" s="12" t="s">
        <v>406</v>
      </c>
      <c r="K290" s="12" t="b">
        <v>1</v>
      </c>
      <c r="L290" s="12">
        <v>3</v>
      </c>
      <c r="M290" s="8">
        <v>2017</v>
      </c>
      <c r="N290" s="9">
        <v>0</v>
      </c>
      <c r="O290" s="9">
        <v>0</v>
      </c>
      <c r="P290" s="9">
        <v>0</v>
      </c>
      <c r="Q290" s="9">
        <v>0</v>
      </c>
      <c r="R290" s="13">
        <v>41717</v>
      </c>
      <c r="S290" s="13">
        <v>41717</v>
      </c>
    </row>
    <row r="291" spans="1:19">
      <c r="A291" s="10">
        <v>2014</v>
      </c>
      <c r="B291" s="11" t="s">
        <v>489</v>
      </c>
      <c r="C291" s="11" t="s">
        <v>490</v>
      </c>
      <c r="D291" s="12">
        <v>1002052</v>
      </c>
      <c r="E291" s="12">
        <v>2</v>
      </c>
      <c r="F291" s="12"/>
      <c r="G291" s="12">
        <v>800</v>
      </c>
      <c r="H291" s="12">
        <v>13.1</v>
      </c>
      <c r="I291" s="12"/>
      <c r="J291" s="12" t="s">
        <v>119</v>
      </c>
      <c r="K291" s="12" t="b">
        <v>1</v>
      </c>
      <c r="L291" s="12">
        <v>2</v>
      </c>
      <c r="M291" s="8">
        <v>2016</v>
      </c>
      <c r="N291" s="9">
        <v>0</v>
      </c>
      <c r="O291" s="9">
        <v>0</v>
      </c>
      <c r="P291" s="9">
        <v>0</v>
      </c>
      <c r="Q291" s="9">
        <v>0</v>
      </c>
      <c r="R291" s="13">
        <v>41717</v>
      </c>
      <c r="S291" s="13">
        <v>41717</v>
      </c>
    </row>
    <row r="292" spans="1:19">
      <c r="A292" s="10">
        <v>2014</v>
      </c>
      <c r="B292" s="11" t="s">
        <v>489</v>
      </c>
      <c r="C292" s="11" t="s">
        <v>490</v>
      </c>
      <c r="D292" s="12">
        <v>1002052</v>
      </c>
      <c r="E292" s="12">
        <v>2</v>
      </c>
      <c r="F292" s="12"/>
      <c r="G292" s="12">
        <v>230</v>
      </c>
      <c r="H292" s="12" t="s">
        <v>67</v>
      </c>
      <c r="I292" s="12"/>
      <c r="J292" s="12" t="s">
        <v>68</v>
      </c>
      <c r="K292" s="12" t="b">
        <v>0</v>
      </c>
      <c r="L292" s="12">
        <v>2</v>
      </c>
      <c r="M292" s="8">
        <v>2016</v>
      </c>
      <c r="N292" s="9">
        <v>0</v>
      </c>
      <c r="O292" s="9">
        <v>0</v>
      </c>
      <c r="P292" s="9">
        <v>0</v>
      </c>
      <c r="Q292" s="9">
        <v>247105.63</v>
      </c>
      <c r="R292" s="13">
        <v>41717</v>
      </c>
      <c r="S292" s="13">
        <v>41717</v>
      </c>
    </row>
    <row r="293" spans="1:19">
      <c r="A293" s="10">
        <v>2014</v>
      </c>
      <c r="B293" s="11" t="s">
        <v>489</v>
      </c>
      <c r="C293" s="11" t="s">
        <v>490</v>
      </c>
      <c r="D293" s="12">
        <v>1002052</v>
      </c>
      <c r="E293" s="12">
        <v>2</v>
      </c>
      <c r="F293" s="12"/>
      <c r="G293" s="12">
        <v>490</v>
      </c>
      <c r="H293" s="12">
        <v>9.3000000000000007</v>
      </c>
      <c r="I293" s="12"/>
      <c r="J293" s="12" t="s">
        <v>389</v>
      </c>
      <c r="K293" s="12" t="b">
        <v>1</v>
      </c>
      <c r="L293" s="12">
        <v>2</v>
      </c>
      <c r="M293" s="8">
        <v>2016</v>
      </c>
      <c r="N293" s="9">
        <v>0</v>
      </c>
      <c r="O293" s="9">
        <v>0</v>
      </c>
      <c r="P293" s="9">
        <v>0</v>
      </c>
      <c r="Q293" s="9">
        <v>0</v>
      </c>
      <c r="R293" s="13">
        <v>41717</v>
      </c>
      <c r="S293" s="13">
        <v>41717</v>
      </c>
    </row>
    <row r="294" spans="1:19">
      <c r="A294" s="10">
        <v>2014</v>
      </c>
      <c r="B294" s="11" t="s">
        <v>489</v>
      </c>
      <c r="C294" s="11" t="s">
        <v>490</v>
      </c>
      <c r="D294" s="12">
        <v>1002052</v>
      </c>
      <c r="E294" s="12">
        <v>2</v>
      </c>
      <c r="F294" s="12"/>
      <c r="G294" s="12">
        <v>100</v>
      </c>
      <c r="H294" s="12" t="s">
        <v>54</v>
      </c>
      <c r="I294" s="12"/>
      <c r="J294" s="12" t="s">
        <v>55</v>
      </c>
      <c r="K294" s="12" t="b">
        <v>1</v>
      </c>
      <c r="L294" s="12">
        <v>1</v>
      </c>
      <c r="M294" s="8">
        <v>2015</v>
      </c>
      <c r="N294" s="9">
        <v>140492.99</v>
      </c>
      <c r="O294" s="9">
        <v>69038.91</v>
      </c>
      <c r="P294" s="9">
        <v>330000</v>
      </c>
      <c r="Q294" s="9">
        <v>6200</v>
      </c>
      <c r="R294" s="13">
        <v>41717</v>
      </c>
      <c r="S294" s="13">
        <v>41717</v>
      </c>
    </row>
    <row r="295" spans="1:19">
      <c r="A295" s="10">
        <v>2014</v>
      </c>
      <c r="B295" s="11" t="s">
        <v>489</v>
      </c>
      <c r="C295" s="11" t="s">
        <v>490</v>
      </c>
      <c r="D295" s="12">
        <v>1002052</v>
      </c>
      <c r="E295" s="12">
        <v>2</v>
      </c>
      <c r="F295" s="12"/>
      <c r="G295" s="12">
        <v>580</v>
      </c>
      <c r="H295" s="12">
        <v>11.1</v>
      </c>
      <c r="I295" s="12"/>
      <c r="J295" s="12" t="s">
        <v>88</v>
      </c>
      <c r="K295" s="12" t="b">
        <v>0</v>
      </c>
      <c r="L295" s="12">
        <v>3</v>
      </c>
      <c r="M295" s="8">
        <v>2017</v>
      </c>
      <c r="N295" s="9">
        <v>4441226.62</v>
      </c>
      <c r="O295" s="9">
        <v>4171528.09</v>
      </c>
      <c r="P295" s="9">
        <v>4406547.84</v>
      </c>
      <c r="Q295" s="9">
        <v>4149289.86</v>
      </c>
      <c r="R295" s="13">
        <v>41717</v>
      </c>
      <c r="S295" s="13">
        <v>41717</v>
      </c>
    </row>
    <row r="296" spans="1:19">
      <c r="A296" s="10">
        <v>2014</v>
      </c>
      <c r="B296" s="11" t="s">
        <v>489</v>
      </c>
      <c r="C296" s="11" t="s">
        <v>490</v>
      </c>
      <c r="D296" s="12">
        <v>1002052</v>
      </c>
      <c r="E296" s="12">
        <v>2</v>
      </c>
      <c r="F296" s="12"/>
      <c r="G296" s="12">
        <v>50</v>
      </c>
      <c r="H296" s="12" t="s">
        <v>45</v>
      </c>
      <c r="I296" s="12"/>
      <c r="J296" s="12" t="s">
        <v>46</v>
      </c>
      <c r="K296" s="12" t="b">
        <v>1</v>
      </c>
      <c r="L296" s="12">
        <v>3</v>
      </c>
      <c r="M296" s="8">
        <v>2017</v>
      </c>
      <c r="N296" s="9">
        <v>3093016.26</v>
      </c>
      <c r="O296" s="9">
        <v>4719070.97</v>
      </c>
      <c r="P296" s="9">
        <v>3848642.4</v>
      </c>
      <c r="Q296" s="9">
        <v>3241540.05</v>
      </c>
      <c r="R296" s="13">
        <v>41717</v>
      </c>
      <c r="S296" s="13">
        <v>41717</v>
      </c>
    </row>
    <row r="297" spans="1:19">
      <c r="A297" s="10">
        <v>2014</v>
      </c>
      <c r="B297" s="11" t="s">
        <v>489</v>
      </c>
      <c r="C297" s="11" t="s">
        <v>490</v>
      </c>
      <c r="D297" s="12">
        <v>1002052</v>
      </c>
      <c r="E297" s="12">
        <v>2</v>
      </c>
      <c r="F297" s="12"/>
      <c r="G297" s="12">
        <v>470</v>
      </c>
      <c r="H297" s="12">
        <v>9.1</v>
      </c>
      <c r="I297" s="12" t="s">
        <v>385</v>
      </c>
      <c r="J297" s="12" t="s">
        <v>386</v>
      </c>
      <c r="K297" s="12" t="b">
        <v>1</v>
      </c>
      <c r="L297" s="12">
        <v>1</v>
      </c>
      <c r="M297" s="8">
        <v>2015</v>
      </c>
      <c r="N297" s="9">
        <v>5.45E-2</v>
      </c>
      <c r="O297" s="9">
        <v>9.6799999999999997E-2</v>
      </c>
      <c r="P297" s="9">
        <v>6.1800000000000001E-2</v>
      </c>
      <c r="Q297" s="9">
        <v>6.0900000000000003E-2</v>
      </c>
      <c r="R297" s="13">
        <v>41717</v>
      </c>
      <c r="S297" s="13">
        <v>41717</v>
      </c>
    </row>
    <row r="298" spans="1:19">
      <c r="A298" s="10">
        <v>2014</v>
      </c>
      <c r="B298" s="11" t="s">
        <v>489</v>
      </c>
      <c r="C298" s="11" t="s">
        <v>490</v>
      </c>
      <c r="D298" s="12">
        <v>1002052</v>
      </c>
      <c r="E298" s="12">
        <v>2</v>
      </c>
      <c r="F298" s="12"/>
      <c r="G298" s="12">
        <v>120</v>
      </c>
      <c r="H298" s="12">
        <v>2</v>
      </c>
      <c r="I298" s="12" t="s">
        <v>491</v>
      </c>
      <c r="J298" s="12" t="s">
        <v>19</v>
      </c>
      <c r="K298" s="12" t="b">
        <v>0</v>
      </c>
      <c r="L298" s="12">
        <v>2</v>
      </c>
      <c r="M298" s="8">
        <v>2016</v>
      </c>
      <c r="N298" s="9">
        <v>12835915.98</v>
      </c>
      <c r="O298" s="9">
        <v>11481546.43</v>
      </c>
      <c r="P298" s="9">
        <v>14584700.699999999</v>
      </c>
      <c r="Q298" s="9">
        <v>13777530.74</v>
      </c>
      <c r="R298" s="13">
        <v>41717</v>
      </c>
      <c r="S298" s="13">
        <v>41717</v>
      </c>
    </row>
    <row r="299" spans="1:19">
      <c r="A299" s="10">
        <v>2014</v>
      </c>
      <c r="B299" s="11" t="s">
        <v>489</v>
      </c>
      <c r="C299" s="11" t="s">
        <v>490</v>
      </c>
      <c r="D299" s="12">
        <v>1002052</v>
      </c>
      <c r="E299" s="12">
        <v>2</v>
      </c>
      <c r="F299" s="12"/>
      <c r="G299" s="12">
        <v>830</v>
      </c>
      <c r="H299" s="12">
        <v>13.4</v>
      </c>
      <c r="I299" s="12"/>
      <c r="J299" s="12" t="s">
        <v>122</v>
      </c>
      <c r="K299" s="12" t="b">
        <v>1</v>
      </c>
      <c r="L299" s="12">
        <v>2</v>
      </c>
      <c r="M299" s="8">
        <v>2016</v>
      </c>
      <c r="N299" s="9">
        <v>0</v>
      </c>
      <c r="O299" s="9">
        <v>0</v>
      </c>
      <c r="P299" s="9">
        <v>0</v>
      </c>
      <c r="Q299" s="9">
        <v>0</v>
      </c>
      <c r="R299" s="13">
        <v>41717</v>
      </c>
      <c r="S299" s="13">
        <v>41717</v>
      </c>
    </row>
    <row r="300" spans="1:19">
      <c r="A300" s="10">
        <v>2014</v>
      </c>
      <c r="B300" s="11" t="s">
        <v>489</v>
      </c>
      <c r="C300" s="11" t="s">
        <v>490</v>
      </c>
      <c r="D300" s="12">
        <v>1002052</v>
      </c>
      <c r="E300" s="12">
        <v>2</v>
      </c>
      <c r="F300" s="12"/>
      <c r="G300" s="12">
        <v>190</v>
      </c>
      <c r="H300" s="12">
        <v>2.2000000000000002</v>
      </c>
      <c r="I300" s="12"/>
      <c r="J300" s="12" t="s">
        <v>65</v>
      </c>
      <c r="K300" s="12" t="b">
        <v>0</v>
      </c>
      <c r="L300" s="12">
        <v>0</v>
      </c>
      <c r="M300" s="8">
        <v>2014</v>
      </c>
      <c r="N300" s="9">
        <v>3624050.32</v>
      </c>
      <c r="O300" s="9">
        <v>2425876</v>
      </c>
      <c r="P300" s="9">
        <v>4625376</v>
      </c>
      <c r="Q300" s="9">
        <v>4393188.7</v>
      </c>
      <c r="R300" s="13">
        <v>41717</v>
      </c>
      <c r="S300" s="13">
        <v>41717</v>
      </c>
    </row>
    <row r="301" spans="1:19">
      <c r="A301" s="10">
        <v>2014</v>
      </c>
      <c r="B301" s="11" t="s">
        <v>489</v>
      </c>
      <c r="C301" s="11" t="s">
        <v>490</v>
      </c>
      <c r="D301" s="12">
        <v>1002052</v>
      </c>
      <c r="E301" s="12">
        <v>2</v>
      </c>
      <c r="F301" s="12"/>
      <c r="G301" s="12">
        <v>182</v>
      </c>
      <c r="H301" s="12" t="s">
        <v>368</v>
      </c>
      <c r="I301" s="12"/>
      <c r="J301" s="12" t="s">
        <v>369</v>
      </c>
      <c r="K301" s="12" t="b">
        <v>0</v>
      </c>
      <c r="L301" s="12">
        <v>0</v>
      </c>
      <c r="M301" s="8">
        <v>2014</v>
      </c>
      <c r="N301" s="9">
        <v>0</v>
      </c>
      <c r="O301" s="9">
        <v>0</v>
      </c>
      <c r="P301" s="9">
        <v>0</v>
      </c>
      <c r="Q301" s="9">
        <v>0</v>
      </c>
      <c r="R301" s="13">
        <v>41717</v>
      </c>
      <c r="S301" s="13">
        <v>41717</v>
      </c>
    </row>
    <row r="302" spans="1:19">
      <c r="A302" s="10">
        <v>2014</v>
      </c>
      <c r="B302" s="11" t="s">
        <v>489</v>
      </c>
      <c r="C302" s="11" t="s">
        <v>490</v>
      </c>
      <c r="D302" s="12">
        <v>1002052</v>
      </c>
      <c r="E302" s="12">
        <v>2</v>
      </c>
      <c r="F302" s="12"/>
      <c r="G302" s="12">
        <v>850</v>
      </c>
      <c r="H302" s="12">
        <v>13.6</v>
      </c>
      <c r="I302" s="12"/>
      <c r="J302" s="12" t="s">
        <v>124</v>
      </c>
      <c r="K302" s="12" t="b">
        <v>1</v>
      </c>
      <c r="L302" s="12">
        <v>0</v>
      </c>
      <c r="M302" s="8">
        <v>2014</v>
      </c>
      <c r="N302" s="9">
        <v>0</v>
      </c>
      <c r="O302" s="9">
        <v>0</v>
      </c>
      <c r="P302" s="9">
        <v>0</v>
      </c>
      <c r="Q302" s="9">
        <v>0</v>
      </c>
      <c r="R302" s="13">
        <v>41717</v>
      </c>
      <c r="S302" s="13">
        <v>41717</v>
      </c>
    </row>
    <row r="303" spans="1:19">
      <c r="A303" s="10">
        <v>2014</v>
      </c>
      <c r="B303" s="11" t="s">
        <v>489</v>
      </c>
      <c r="C303" s="11" t="s">
        <v>490</v>
      </c>
      <c r="D303" s="12">
        <v>1002052</v>
      </c>
      <c r="E303" s="12">
        <v>2</v>
      </c>
      <c r="F303" s="12"/>
      <c r="G303" s="12">
        <v>620</v>
      </c>
      <c r="H303" s="12" t="s">
        <v>92</v>
      </c>
      <c r="I303" s="12"/>
      <c r="J303" s="12" t="s">
        <v>93</v>
      </c>
      <c r="K303" s="12" t="b">
        <v>1</v>
      </c>
      <c r="L303" s="12">
        <v>3</v>
      </c>
      <c r="M303" s="8">
        <v>2017</v>
      </c>
      <c r="N303" s="9">
        <v>1357691.17</v>
      </c>
      <c r="O303" s="9">
        <v>562105.4</v>
      </c>
      <c r="P303" s="9">
        <v>3401517</v>
      </c>
      <c r="Q303" s="9">
        <v>3180695.36</v>
      </c>
      <c r="R303" s="13">
        <v>41717</v>
      </c>
      <c r="S303" s="13">
        <v>41717</v>
      </c>
    </row>
    <row r="304" spans="1:19">
      <c r="A304" s="10">
        <v>2014</v>
      </c>
      <c r="B304" s="11" t="s">
        <v>489</v>
      </c>
      <c r="C304" s="11" t="s">
        <v>490</v>
      </c>
      <c r="D304" s="12">
        <v>1002052</v>
      </c>
      <c r="E304" s="12">
        <v>2</v>
      </c>
      <c r="F304" s="12"/>
      <c r="G304" s="12">
        <v>220</v>
      </c>
      <c r="H304" s="12">
        <v>4.0999999999999996</v>
      </c>
      <c r="I304" s="12"/>
      <c r="J304" s="12" t="s">
        <v>66</v>
      </c>
      <c r="K304" s="12" t="b">
        <v>0</v>
      </c>
      <c r="L304" s="12">
        <v>2</v>
      </c>
      <c r="M304" s="8">
        <v>2016</v>
      </c>
      <c r="N304" s="9">
        <v>0</v>
      </c>
      <c r="O304" s="9">
        <v>0</v>
      </c>
      <c r="P304" s="9">
        <v>314668.09000000003</v>
      </c>
      <c r="Q304" s="9">
        <v>959945.09</v>
      </c>
      <c r="R304" s="13">
        <v>41717</v>
      </c>
      <c r="S304" s="13">
        <v>41717</v>
      </c>
    </row>
    <row r="305" spans="1:19">
      <c r="A305" s="10">
        <v>2014</v>
      </c>
      <c r="B305" s="11" t="s">
        <v>489</v>
      </c>
      <c r="C305" s="11" t="s">
        <v>490</v>
      </c>
      <c r="D305" s="12">
        <v>1002052</v>
      </c>
      <c r="E305" s="12">
        <v>2</v>
      </c>
      <c r="F305" s="12"/>
      <c r="G305" s="12">
        <v>940</v>
      </c>
      <c r="H305" s="12">
        <v>14.4</v>
      </c>
      <c r="I305" s="12"/>
      <c r="J305" s="12" t="s">
        <v>135</v>
      </c>
      <c r="K305" s="12" t="b">
        <v>1</v>
      </c>
      <c r="L305" s="12">
        <v>2</v>
      </c>
      <c r="M305" s="8">
        <v>2016</v>
      </c>
      <c r="N305" s="9">
        <v>0</v>
      </c>
      <c r="O305" s="9">
        <v>0</v>
      </c>
      <c r="P305" s="9">
        <v>0</v>
      </c>
      <c r="Q305" s="9">
        <v>0</v>
      </c>
      <c r="R305" s="13">
        <v>41717</v>
      </c>
      <c r="S305" s="13">
        <v>41717</v>
      </c>
    </row>
    <row r="306" spans="1:19">
      <c r="A306" s="10">
        <v>2014</v>
      </c>
      <c r="B306" s="11" t="s">
        <v>489</v>
      </c>
      <c r="C306" s="11" t="s">
        <v>490</v>
      </c>
      <c r="D306" s="12">
        <v>1002052</v>
      </c>
      <c r="E306" s="12">
        <v>2</v>
      </c>
      <c r="F306" s="12"/>
      <c r="G306" s="12">
        <v>720</v>
      </c>
      <c r="H306" s="12" t="s">
        <v>106</v>
      </c>
      <c r="I306" s="12"/>
      <c r="J306" s="12" t="s">
        <v>107</v>
      </c>
      <c r="K306" s="12" t="b">
        <v>0</v>
      </c>
      <c r="L306" s="12">
        <v>2</v>
      </c>
      <c r="M306" s="8">
        <v>2016</v>
      </c>
      <c r="N306" s="9">
        <v>0</v>
      </c>
      <c r="O306" s="9">
        <v>0</v>
      </c>
      <c r="P306" s="9">
        <v>232602</v>
      </c>
      <c r="Q306" s="9">
        <v>232601.81</v>
      </c>
      <c r="R306" s="13">
        <v>41717</v>
      </c>
      <c r="S306" s="13">
        <v>41717</v>
      </c>
    </row>
    <row r="307" spans="1:19">
      <c r="A307" s="10">
        <v>2014</v>
      </c>
      <c r="B307" s="11" t="s">
        <v>489</v>
      </c>
      <c r="C307" s="11" t="s">
        <v>490</v>
      </c>
      <c r="D307" s="12">
        <v>1002052</v>
      </c>
      <c r="E307" s="12">
        <v>2</v>
      </c>
      <c r="F307" s="12"/>
      <c r="G307" s="12">
        <v>480</v>
      </c>
      <c r="H307" s="12">
        <v>9.1999999999999993</v>
      </c>
      <c r="I307" s="12" t="s">
        <v>387</v>
      </c>
      <c r="J307" s="12" t="s">
        <v>388</v>
      </c>
      <c r="K307" s="12" t="b">
        <v>0</v>
      </c>
      <c r="L307" s="12">
        <v>3</v>
      </c>
      <c r="M307" s="8">
        <v>2017</v>
      </c>
      <c r="N307" s="9">
        <v>7.4000000000000003E-3</v>
      </c>
      <c r="O307" s="9">
        <v>5.45E-2</v>
      </c>
      <c r="P307" s="9">
        <v>6.1800000000000001E-2</v>
      </c>
      <c r="Q307" s="9">
        <v>6.0900000000000003E-2</v>
      </c>
      <c r="R307" s="13">
        <v>41717</v>
      </c>
      <c r="S307" s="13">
        <v>41717</v>
      </c>
    </row>
    <row r="308" spans="1:19">
      <c r="A308" s="10">
        <v>2014</v>
      </c>
      <c r="B308" s="11" t="s">
        <v>489</v>
      </c>
      <c r="C308" s="11" t="s">
        <v>490</v>
      </c>
      <c r="D308" s="12">
        <v>1002052</v>
      </c>
      <c r="E308" s="12">
        <v>2</v>
      </c>
      <c r="F308" s="12"/>
      <c r="G308" s="12">
        <v>840</v>
      </c>
      <c r="H308" s="12">
        <v>13.5</v>
      </c>
      <c r="I308" s="12"/>
      <c r="J308" s="12" t="s">
        <v>123</v>
      </c>
      <c r="K308" s="12" t="b">
        <v>1</v>
      </c>
      <c r="L308" s="12">
        <v>3</v>
      </c>
      <c r="M308" s="8">
        <v>2017</v>
      </c>
      <c r="N308" s="9">
        <v>0</v>
      </c>
      <c r="O308" s="9">
        <v>0</v>
      </c>
      <c r="P308" s="9">
        <v>0</v>
      </c>
      <c r="Q308" s="9">
        <v>0</v>
      </c>
      <c r="R308" s="13">
        <v>41717</v>
      </c>
      <c r="S308" s="13">
        <v>41717</v>
      </c>
    </row>
    <row r="309" spans="1:19">
      <c r="A309" s="10">
        <v>2014</v>
      </c>
      <c r="B309" s="11" t="s">
        <v>489</v>
      </c>
      <c r="C309" s="11" t="s">
        <v>490</v>
      </c>
      <c r="D309" s="12">
        <v>1002052</v>
      </c>
      <c r="E309" s="12">
        <v>2</v>
      </c>
      <c r="F309" s="12"/>
      <c r="G309" s="12">
        <v>540</v>
      </c>
      <c r="H309" s="12" t="s">
        <v>84</v>
      </c>
      <c r="I309" s="12" t="s">
        <v>399</v>
      </c>
      <c r="J309" s="12" t="s">
        <v>400</v>
      </c>
      <c r="K309" s="12" t="b">
        <v>0</v>
      </c>
      <c r="L309" s="12">
        <v>2</v>
      </c>
      <c r="M309" s="8">
        <v>2016</v>
      </c>
      <c r="N309" s="9">
        <v>7.4000000000000003E-3</v>
      </c>
      <c r="O309" s="9">
        <v>5.45E-2</v>
      </c>
      <c r="P309" s="9">
        <v>6.1800000000000001E-2</v>
      </c>
      <c r="Q309" s="9">
        <v>6.0900000000000003E-2</v>
      </c>
      <c r="R309" s="13">
        <v>41717</v>
      </c>
      <c r="S309" s="13">
        <v>41717</v>
      </c>
    </row>
    <row r="310" spans="1:19">
      <c r="A310" s="10">
        <v>2014</v>
      </c>
      <c r="B310" s="11" t="s">
        <v>489</v>
      </c>
      <c r="C310" s="11" t="s">
        <v>490</v>
      </c>
      <c r="D310" s="12">
        <v>1002052</v>
      </c>
      <c r="E310" s="12">
        <v>2</v>
      </c>
      <c r="F310" s="12"/>
      <c r="G310" s="12">
        <v>920</v>
      </c>
      <c r="H310" s="12" t="s">
        <v>132</v>
      </c>
      <c r="I310" s="12"/>
      <c r="J310" s="12" t="s">
        <v>416</v>
      </c>
      <c r="K310" s="12" t="b">
        <v>1</v>
      </c>
      <c r="L310" s="12">
        <v>2</v>
      </c>
      <c r="M310" s="8">
        <v>2016</v>
      </c>
      <c r="N310" s="9">
        <v>0</v>
      </c>
      <c r="O310" s="9">
        <v>0</v>
      </c>
      <c r="P310" s="9">
        <v>0</v>
      </c>
      <c r="Q310" s="9">
        <v>0</v>
      </c>
      <c r="R310" s="13">
        <v>41717</v>
      </c>
      <c r="S310" s="13">
        <v>41717</v>
      </c>
    </row>
    <row r="311" spans="1:19">
      <c r="A311" s="10">
        <v>2014</v>
      </c>
      <c r="B311" s="11" t="s">
        <v>489</v>
      </c>
      <c r="C311" s="11" t="s">
        <v>490</v>
      </c>
      <c r="D311" s="12">
        <v>1002052</v>
      </c>
      <c r="E311" s="12">
        <v>2</v>
      </c>
      <c r="F311" s="12"/>
      <c r="G311" s="12">
        <v>180</v>
      </c>
      <c r="H311" s="12" t="s">
        <v>64</v>
      </c>
      <c r="I311" s="12"/>
      <c r="J311" s="12" t="s">
        <v>367</v>
      </c>
      <c r="K311" s="12" t="b">
        <v>0</v>
      </c>
      <c r="L311" s="12">
        <v>0</v>
      </c>
      <c r="M311" s="8">
        <v>2014</v>
      </c>
      <c r="N311" s="9">
        <v>38272.47</v>
      </c>
      <c r="O311" s="9">
        <v>83194.59</v>
      </c>
      <c r="P311" s="9">
        <v>95000</v>
      </c>
      <c r="Q311" s="9">
        <v>36075.83</v>
      </c>
      <c r="R311" s="13">
        <v>41717</v>
      </c>
      <c r="S311" s="13">
        <v>41717</v>
      </c>
    </row>
    <row r="312" spans="1:19">
      <c r="A312" s="10">
        <v>2014</v>
      </c>
      <c r="B312" s="11" t="s">
        <v>489</v>
      </c>
      <c r="C312" s="11" t="s">
        <v>490</v>
      </c>
      <c r="D312" s="12">
        <v>1002052</v>
      </c>
      <c r="E312" s="12">
        <v>2</v>
      </c>
      <c r="F312" s="12"/>
      <c r="G312" s="12">
        <v>420</v>
      </c>
      <c r="H312" s="12">
        <v>8.1</v>
      </c>
      <c r="I312" s="12" t="s">
        <v>382</v>
      </c>
      <c r="J312" s="12" t="s">
        <v>82</v>
      </c>
      <c r="K312" s="12" t="b">
        <v>0</v>
      </c>
      <c r="L312" s="12">
        <v>1</v>
      </c>
      <c r="M312" s="8">
        <v>2015</v>
      </c>
      <c r="N312" s="9">
        <v>975297.61</v>
      </c>
      <c r="O312" s="9">
        <v>3604694.11</v>
      </c>
      <c r="P312" s="9">
        <v>2504739.7200000002</v>
      </c>
      <c r="Q312" s="9">
        <v>2583957.89</v>
      </c>
      <c r="R312" s="13">
        <v>41717</v>
      </c>
      <c r="S312" s="13">
        <v>41717</v>
      </c>
    </row>
    <row r="313" spans="1:19">
      <c r="A313" s="10">
        <v>2014</v>
      </c>
      <c r="B313" s="11" t="s">
        <v>489</v>
      </c>
      <c r="C313" s="11" t="s">
        <v>490</v>
      </c>
      <c r="D313" s="12">
        <v>1002052</v>
      </c>
      <c r="E313" s="12">
        <v>2</v>
      </c>
      <c r="F313" s="12"/>
      <c r="G313" s="12">
        <v>510</v>
      </c>
      <c r="H313" s="12">
        <v>9.6</v>
      </c>
      <c r="I313" s="12"/>
      <c r="J313" s="12" t="s">
        <v>395</v>
      </c>
      <c r="K313" s="12" t="b">
        <v>1</v>
      </c>
      <c r="L313" s="12">
        <v>1</v>
      </c>
      <c r="M313" s="8">
        <v>2015</v>
      </c>
      <c r="N313" s="9">
        <v>0</v>
      </c>
      <c r="O313" s="9">
        <v>0</v>
      </c>
      <c r="P313" s="9">
        <v>0</v>
      </c>
      <c r="Q313" s="9">
        <v>0</v>
      </c>
      <c r="R313" s="13">
        <v>41717</v>
      </c>
      <c r="S313" s="13">
        <v>41717</v>
      </c>
    </row>
    <row r="314" spans="1:19">
      <c r="A314" s="10">
        <v>2014</v>
      </c>
      <c r="B314" s="11" t="s">
        <v>489</v>
      </c>
      <c r="C314" s="11" t="s">
        <v>490</v>
      </c>
      <c r="D314" s="12">
        <v>1002052</v>
      </c>
      <c r="E314" s="12">
        <v>2</v>
      </c>
      <c r="F314" s="12"/>
      <c r="G314" s="12">
        <v>850</v>
      </c>
      <c r="H314" s="12">
        <v>13.6</v>
      </c>
      <c r="I314" s="12"/>
      <c r="J314" s="12" t="s">
        <v>124</v>
      </c>
      <c r="K314" s="12" t="b">
        <v>1</v>
      </c>
      <c r="L314" s="12">
        <v>1</v>
      </c>
      <c r="M314" s="8">
        <v>2015</v>
      </c>
      <c r="N314" s="9">
        <v>0</v>
      </c>
      <c r="O314" s="9">
        <v>0</v>
      </c>
      <c r="P314" s="9">
        <v>0</v>
      </c>
      <c r="Q314" s="9">
        <v>0</v>
      </c>
      <c r="R314" s="13">
        <v>41717</v>
      </c>
      <c r="S314" s="13">
        <v>41717</v>
      </c>
    </row>
    <row r="315" spans="1:19">
      <c r="A315" s="10">
        <v>2014</v>
      </c>
      <c r="B315" s="11" t="s">
        <v>489</v>
      </c>
      <c r="C315" s="11" t="s">
        <v>490</v>
      </c>
      <c r="D315" s="12">
        <v>1002052</v>
      </c>
      <c r="E315" s="12">
        <v>2</v>
      </c>
      <c r="F315" s="12"/>
      <c r="G315" s="12">
        <v>140</v>
      </c>
      <c r="H315" s="12" t="s">
        <v>59</v>
      </c>
      <c r="I315" s="12"/>
      <c r="J315" s="12" t="s">
        <v>60</v>
      </c>
      <c r="K315" s="12" t="b">
        <v>1</v>
      </c>
      <c r="L315" s="12">
        <v>0</v>
      </c>
      <c r="M315" s="8">
        <v>2014</v>
      </c>
      <c r="N315" s="9">
        <v>0</v>
      </c>
      <c r="O315" s="9">
        <v>0</v>
      </c>
      <c r="P315" s="9">
        <v>0</v>
      </c>
      <c r="Q315" s="9">
        <v>0</v>
      </c>
      <c r="R315" s="13">
        <v>41717</v>
      </c>
      <c r="S315" s="13">
        <v>41717</v>
      </c>
    </row>
    <row r="316" spans="1:19">
      <c r="A316" s="10">
        <v>2014</v>
      </c>
      <c r="B316" s="11" t="s">
        <v>489</v>
      </c>
      <c r="C316" s="11" t="s">
        <v>490</v>
      </c>
      <c r="D316" s="12">
        <v>1002052</v>
      </c>
      <c r="E316" s="12">
        <v>2</v>
      </c>
      <c r="F316" s="12"/>
      <c r="G316" s="12">
        <v>764</v>
      </c>
      <c r="H316" s="12" t="s">
        <v>405</v>
      </c>
      <c r="I316" s="12"/>
      <c r="J316" s="12" t="s">
        <v>406</v>
      </c>
      <c r="K316" s="12" t="b">
        <v>1</v>
      </c>
      <c r="L316" s="12">
        <v>0</v>
      </c>
      <c r="M316" s="8">
        <v>2014</v>
      </c>
      <c r="N316" s="9">
        <v>0</v>
      </c>
      <c r="O316" s="9">
        <v>0</v>
      </c>
      <c r="P316" s="9">
        <v>0</v>
      </c>
      <c r="Q316" s="9">
        <v>0</v>
      </c>
      <c r="R316" s="13">
        <v>41717</v>
      </c>
      <c r="S316" s="13">
        <v>41717</v>
      </c>
    </row>
    <row r="317" spans="1:19">
      <c r="A317" s="10">
        <v>2014</v>
      </c>
      <c r="B317" s="11" t="s">
        <v>489</v>
      </c>
      <c r="C317" s="11" t="s">
        <v>490</v>
      </c>
      <c r="D317" s="12">
        <v>1002052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88</v>
      </c>
      <c r="K317" s="12" t="b">
        <v>0</v>
      </c>
      <c r="L317" s="12">
        <v>2</v>
      </c>
      <c r="M317" s="8">
        <v>2016</v>
      </c>
      <c r="N317" s="9">
        <v>4441226.62</v>
      </c>
      <c r="O317" s="9">
        <v>4171528.09</v>
      </c>
      <c r="P317" s="9">
        <v>4406547.84</v>
      </c>
      <c r="Q317" s="9">
        <v>4149289.86</v>
      </c>
      <c r="R317" s="13">
        <v>41717</v>
      </c>
      <c r="S317" s="13">
        <v>41717</v>
      </c>
    </row>
    <row r="318" spans="1:19">
      <c r="A318" s="10">
        <v>2014</v>
      </c>
      <c r="B318" s="11" t="s">
        <v>489</v>
      </c>
      <c r="C318" s="11" t="s">
        <v>490</v>
      </c>
      <c r="D318" s="12">
        <v>1002052</v>
      </c>
      <c r="E318" s="12">
        <v>2</v>
      </c>
      <c r="F318" s="12"/>
      <c r="G318" s="12">
        <v>710</v>
      </c>
      <c r="H318" s="12" t="s">
        <v>104</v>
      </c>
      <c r="I318" s="12"/>
      <c r="J318" s="12" t="s">
        <v>105</v>
      </c>
      <c r="K318" s="12" t="b">
        <v>0</v>
      </c>
      <c r="L318" s="12">
        <v>0</v>
      </c>
      <c r="M318" s="8">
        <v>2014</v>
      </c>
      <c r="N318" s="9">
        <v>1041937.3</v>
      </c>
      <c r="O318" s="9">
        <v>826032</v>
      </c>
      <c r="P318" s="9">
        <v>232602</v>
      </c>
      <c r="Q318" s="9">
        <v>232601.81</v>
      </c>
      <c r="R318" s="13">
        <v>41717</v>
      </c>
      <c r="S318" s="13">
        <v>41717</v>
      </c>
    </row>
    <row r="319" spans="1:19">
      <c r="A319" s="10">
        <v>2014</v>
      </c>
      <c r="B319" s="11" t="s">
        <v>489</v>
      </c>
      <c r="C319" s="11" t="s">
        <v>490</v>
      </c>
      <c r="D319" s="12">
        <v>1002052</v>
      </c>
      <c r="E319" s="12">
        <v>2</v>
      </c>
      <c r="F319" s="12"/>
      <c r="G319" s="12">
        <v>80</v>
      </c>
      <c r="H319" s="12" t="s">
        <v>51</v>
      </c>
      <c r="I319" s="12"/>
      <c r="J319" s="12" t="s">
        <v>52</v>
      </c>
      <c r="K319" s="12" t="b">
        <v>1</v>
      </c>
      <c r="L319" s="12">
        <v>2</v>
      </c>
      <c r="M319" s="8">
        <v>2016</v>
      </c>
      <c r="N319" s="9">
        <v>2073142.05</v>
      </c>
      <c r="O319" s="9">
        <v>2060950.81</v>
      </c>
      <c r="P319" s="9">
        <v>1980030.02</v>
      </c>
      <c r="Q319" s="9">
        <v>2099883.4300000002</v>
      </c>
      <c r="R319" s="13">
        <v>41717</v>
      </c>
      <c r="S319" s="13">
        <v>41717</v>
      </c>
    </row>
    <row r="320" spans="1:19">
      <c r="A320" s="10">
        <v>2014</v>
      </c>
      <c r="B320" s="11" t="s">
        <v>489</v>
      </c>
      <c r="C320" s="11" t="s">
        <v>490</v>
      </c>
      <c r="D320" s="12">
        <v>1002052</v>
      </c>
      <c r="E320" s="12">
        <v>2</v>
      </c>
      <c r="F320" s="12"/>
      <c r="G320" s="12">
        <v>820</v>
      </c>
      <c r="H320" s="12">
        <v>13.3</v>
      </c>
      <c r="I320" s="12"/>
      <c r="J320" s="12" t="s">
        <v>121</v>
      </c>
      <c r="K320" s="12" t="b">
        <v>1</v>
      </c>
      <c r="L320" s="12">
        <v>3</v>
      </c>
      <c r="M320" s="8">
        <v>2017</v>
      </c>
      <c r="N320" s="9">
        <v>0</v>
      </c>
      <c r="O320" s="9">
        <v>0</v>
      </c>
      <c r="P320" s="9">
        <v>0</v>
      </c>
      <c r="Q320" s="9">
        <v>0</v>
      </c>
      <c r="R320" s="13">
        <v>41717</v>
      </c>
      <c r="S320" s="13">
        <v>41717</v>
      </c>
    </row>
    <row r="321" spans="1:19">
      <c r="A321" s="10">
        <v>2014</v>
      </c>
      <c r="B321" s="11" t="s">
        <v>489</v>
      </c>
      <c r="C321" s="11" t="s">
        <v>490</v>
      </c>
      <c r="D321" s="12">
        <v>1002052</v>
      </c>
      <c r="E321" s="12">
        <v>2</v>
      </c>
      <c r="F321" s="12"/>
      <c r="G321" s="12">
        <v>730</v>
      </c>
      <c r="H321" s="12">
        <v>12.3</v>
      </c>
      <c r="I321" s="12"/>
      <c r="J321" s="12" t="s">
        <v>108</v>
      </c>
      <c r="K321" s="12" t="b">
        <v>0</v>
      </c>
      <c r="L321" s="12">
        <v>2</v>
      </c>
      <c r="M321" s="8">
        <v>2016</v>
      </c>
      <c r="N321" s="9">
        <v>123162.52</v>
      </c>
      <c r="O321" s="9">
        <v>156869.10999999999</v>
      </c>
      <c r="P321" s="9">
        <v>145119.65</v>
      </c>
      <c r="Q321" s="9">
        <v>138833.24</v>
      </c>
      <c r="R321" s="13">
        <v>41717</v>
      </c>
      <c r="S321" s="13">
        <v>41717</v>
      </c>
    </row>
    <row r="322" spans="1:19">
      <c r="A322" s="10">
        <v>2014</v>
      </c>
      <c r="B322" s="11" t="s">
        <v>489</v>
      </c>
      <c r="C322" s="11" t="s">
        <v>490</v>
      </c>
      <c r="D322" s="12">
        <v>1002052</v>
      </c>
      <c r="E322" s="12">
        <v>2</v>
      </c>
      <c r="F322" s="12"/>
      <c r="G322" s="12">
        <v>763</v>
      </c>
      <c r="H322" s="12">
        <v>12.5</v>
      </c>
      <c r="I322" s="12"/>
      <c r="J322" s="12" t="s">
        <v>404</v>
      </c>
      <c r="K322" s="12" t="b">
        <v>1</v>
      </c>
      <c r="L322" s="12">
        <v>3</v>
      </c>
      <c r="M322" s="8">
        <v>2017</v>
      </c>
      <c r="N322" s="9">
        <v>0</v>
      </c>
      <c r="O322" s="9">
        <v>0</v>
      </c>
      <c r="P322" s="9">
        <v>0</v>
      </c>
      <c r="Q322" s="9">
        <v>0</v>
      </c>
      <c r="R322" s="13">
        <v>41717</v>
      </c>
      <c r="S322" s="13">
        <v>41717</v>
      </c>
    </row>
    <row r="323" spans="1:19">
      <c r="A323" s="10">
        <v>2014</v>
      </c>
      <c r="B323" s="11" t="s">
        <v>489</v>
      </c>
      <c r="C323" s="11" t="s">
        <v>490</v>
      </c>
      <c r="D323" s="12">
        <v>1002052</v>
      </c>
      <c r="E323" s="12">
        <v>2</v>
      </c>
      <c r="F323" s="12"/>
      <c r="G323" s="12">
        <v>920</v>
      </c>
      <c r="H323" s="12" t="s">
        <v>132</v>
      </c>
      <c r="I323" s="12"/>
      <c r="J323" s="12" t="s">
        <v>416</v>
      </c>
      <c r="K323" s="12" t="b">
        <v>1</v>
      </c>
      <c r="L323" s="12">
        <v>0</v>
      </c>
      <c r="M323" s="8">
        <v>2014</v>
      </c>
      <c r="N323" s="9">
        <v>0</v>
      </c>
      <c r="O323" s="9">
        <v>0</v>
      </c>
      <c r="P323" s="9">
        <v>0</v>
      </c>
      <c r="Q323" s="9">
        <v>0</v>
      </c>
      <c r="R323" s="13">
        <v>41717</v>
      </c>
      <c r="S323" s="13">
        <v>41717</v>
      </c>
    </row>
    <row r="324" spans="1:19">
      <c r="A324" s="10">
        <v>2014</v>
      </c>
      <c r="B324" s="11" t="s">
        <v>489</v>
      </c>
      <c r="C324" s="11" t="s">
        <v>490</v>
      </c>
      <c r="D324" s="12">
        <v>1002052</v>
      </c>
      <c r="E324" s="12">
        <v>2</v>
      </c>
      <c r="F324" s="12"/>
      <c r="G324" s="12">
        <v>300</v>
      </c>
      <c r="H324" s="12">
        <v>5</v>
      </c>
      <c r="I324" s="12" t="s">
        <v>374</v>
      </c>
      <c r="J324" s="12" t="s">
        <v>76</v>
      </c>
      <c r="K324" s="12" t="b">
        <v>0</v>
      </c>
      <c r="L324" s="12">
        <v>2</v>
      </c>
      <c r="M324" s="8">
        <v>2016</v>
      </c>
      <c r="N324" s="9">
        <v>601088.34</v>
      </c>
      <c r="O324" s="9">
        <v>1303202.75</v>
      </c>
      <c r="P324" s="9">
        <v>737521.46</v>
      </c>
      <c r="Q324" s="9">
        <v>737521.46</v>
      </c>
      <c r="R324" s="13">
        <v>41717</v>
      </c>
      <c r="S324" s="13">
        <v>41717</v>
      </c>
    </row>
    <row r="325" spans="1:19">
      <c r="A325" s="10">
        <v>2014</v>
      </c>
      <c r="B325" s="11" t="s">
        <v>489</v>
      </c>
      <c r="C325" s="11" t="s">
        <v>490</v>
      </c>
      <c r="D325" s="12">
        <v>1002052</v>
      </c>
      <c r="E325" s="12">
        <v>2</v>
      </c>
      <c r="F325" s="12"/>
      <c r="G325" s="12">
        <v>510</v>
      </c>
      <c r="H325" s="12">
        <v>9.6</v>
      </c>
      <c r="I325" s="12"/>
      <c r="J325" s="12" t="s">
        <v>395</v>
      </c>
      <c r="K325" s="12" t="b">
        <v>1</v>
      </c>
      <c r="L325" s="12">
        <v>2</v>
      </c>
      <c r="M325" s="8">
        <v>2016</v>
      </c>
      <c r="N325" s="9">
        <v>0</v>
      </c>
      <c r="O325" s="9">
        <v>0</v>
      </c>
      <c r="P325" s="9">
        <v>0</v>
      </c>
      <c r="Q325" s="9">
        <v>0</v>
      </c>
      <c r="R325" s="13">
        <v>41717</v>
      </c>
      <c r="S325" s="13">
        <v>41717</v>
      </c>
    </row>
    <row r="326" spans="1:19">
      <c r="A326" s="10">
        <v>2014</v>
      </c>
      <c r="B326" s="11" t="s">
        <v>489</v>
      </c>
      <c r="C326" s="11" t="s">
        <v>490</v>
      </c>
      <c r="D326" s="12">
        <v>1002052</v>
      </c>
      <c r="E326" s="12">
        <v>2</v>
      </c>
      <c r="F326" s="12"/>
      <c r="G326" s="12">
        <v>320</v>
      </c>
      <c r="H326" s="12" t="s">
        <v>78</v>
      </c>
      <c r="I326" s="12" t="s">
        <v>375</v>
      </c>
      <c r="J326" s="12" t="s">
        <v>376</v>
      </c>
      <c r="K326" s="12" t="b">
        <v>1</v>
      </c>
      <c r="L326" s="12">
        <v>3</v>
      </c>
      <c r="M326" s="8">
        <v>2017</v>
      </c>
      <c r="N326" s="9">
        <v>552822</v>
      </c>
      <c r="O326" s="9">
        <v>595645.15</v>
      </c>
      <c r="P326" s="9">
        <v>0</v>
      </c>
      <c r="Q326" s="9">
        <v>0</v>
      </c>
      <c r="R326" s="13">
        <v>41717</v>
      </c>
      <c r="S326" s="13">
        <v>41717</v>
      </c>
    </row>
    <row r="327" spans="1:19">
      <c r="A327" s="10">
        <v>2014</v>
      </c>
      <c r="B327" s="11" t="s">
        <v>489</v>
      </c>
      <c r="C327" s="11" t="s">
        <v>490</v>
      </c>
      <c r="D327" s="12">
        <v>1002052</v>
      </c>
      <c r="E327" s="12">
        <v>2</v>
      </c>
      <c r="F327" s="12"/>
      <c r="G327" s="12">
        <v>670</v>
      </c>
      <c r="H327" s="12">
        <v>12.1</v>
      </c>
      <c r="I327" s="12"/>
      <c r="J327" s="12" t="s">
        <v>98</v>
      </c>
      <c r="K327" s="12" t="b">
        <v>1</v>
      </c>
      <c r="L327" s="12">
        <v>0</v>
      </c>
      <c r="M327" s="8">
        <v>2014</v>
      </c>
      <c r="N327" s="9">
        <v>104205.75</v>
      </c>
      <c r="O327" s="9">
        <v>179911.06</v>
      </c>
      <c r="P327" s="9">
        <v>109888.97</v>
      </c>
      <c r="Q327" s="9">
        <v>105623.85</v>
      </c>
      <c r="R327" s="13">
        <v>41717</v>
      </c>
      <c r="S327" s="13">
        <v>41717</v>
      </c>
    </row>
    <row r="328" spans="1:19">
      <c r="A328" s="10">
        <v>2014</v>
      </c>
      <c r="B328" s="11" t="s">
        <v>489</v>
      </c>
      <c r="C328" s="11" t="s">
        <v>490</v>
      </c>
      <c r="D328" s="12">
        <v>1002052</v>
      </c>
      <c r="E328" s="12">
        <v>2</v>
      </c>
      <c r="F328" s="12"/>
      <c r="G328" s="12">
        <v>260</v>
      </c>
      <c r="H328" s="12">
        <v>4.3</v>
      </c>
      <c r="I328" s="12"/>
      <c r="J328" s="12" t="s">
        <v>72</v>
      </c>
      <c r="K328" s="12" t="b">
        <v>1</v>
      </c>
      <c r="L328" s="12">
        <v>2</v>
      </c>
      <c r="M328" s="8">
        <v>2016</v>
      </c>
      <c r="N328" s="9">
        <v>2417813.7400000002</v>
      </c>
      <c r="O328" s="9">
        <v>148000</v>
      </c>
      <c r="P328" s="9">
        <v>89000</v>
      </c>
      <c r="Q328" s="9">
        <v>89000</v>
      </c>
      <c r="R328" s="13">
        <v>41717</v>
      </c>
      <c r="S328" s="13">
        <v>41717</v>
      </c>
    </row>
    <row r="329" spans="1:19">
      <c r="A329" s="10">
        <v>2014</v>
      </c>
      <c r="B329" s="11" t="s">
        <v>489</v>
      </c>
      <c r="C329" s="11" t="s">
        <v>490</v>
      </c>
      <c r="D329" s="12">
        <v>1002052</v>
      </c>
      <c r="E329" s="12">
        <v>2</v>
      </c>
      <c r="F329" s="12"/>
      <c r="G329" s="12">
        <v>920</v>
      </c>
      <c r="H329" s="12" t="s">
        <v>132</v>
      </c>
      <c r="I329" s="12"/>
      <c r="J329" s="12" t="s">
        <v>416</v>
      </c>
      <c r="K329" s="12" t="b">
        <v>1</v>
      </c>
      <c r="L329" s="12">
        <v>1</v>
      </c>
      <c r="M329" s="8">
        <v>2015</v>
      </c>
      <c r="N329" s="9">
        <v>0</v>
      </c>
      <c r="O329" s="9">
        <v>0</v>
      </c>
      <c r="P329" s="9">
        <v>0</v>
      </c>
      <c r="Q329" s="9">
        <v>0</v>
      </c>
      <c r="R329" s="13">
        <v>41717</v>
      </c>
      <c r="S329" s="13">
        <v>41717</v>
      </c>
    </row>
    <row r="330" spans="1:19">
      <c r="A330" s="10">
        <v>2014</v>
      </c>
      <c r="B330" s="11" t="s">
        <v>489</v>
      </c>
      <c r="C330" s="11" t="s">
        <v>490</v>
      </c>
      <c r="D330" s="12">
        <v>1002052</v>
      </c>
      <c r="E330" s="12">
        <v>2</v>
      </c>
      <c r="F330" s="12"/>
      <c r="G330" s="12">
        <v>570</v>
      </c>
      <c r="H330" s="12">
        <v>11</v>
      </c>
      <c r="I330" s="12"/>
      <c r="J330" s="12" t="s">
        <v>87</v>
      </c>
      <c r="K330" s="12" t="b">
        <v>0</v>
      </c>
      <c r="L330" s="12">
        <v>0</v>
      </c>
      <c r="M330" s="8">
        <v>2014</v>
      </c>
      <c r="N330" s="9">
        <v>0</v>
      </c>
      <c r="O330" s="9">
        <v>0</v>
      </c>
      <c r="P330" s="9">
        <v>0</v>
      </c>
      <c r="Q330" s="9">
        <v>0</v>
      </c>
      <c r="R330" s="13">
        <v>41717</v>
      </c>
      <c r="S330" s="13">
        <v>41717</v>
      </c>
    </row>
    <row r="331" spans="1:19">
      <c r="A331" s="10">
        <v>2014</v>
      </c>
      <c r="B331" s="11" t="s">
        <v>489</v>
      </c>
      <c r="C331" s="11" t="s">
        <v>490</v>
      </c>
      <c r="D331" s="12">
        <v>1002052</v>
      </c>
      <c r="E331" s="12">
        <v>2</v>
      </c>
      <c r="F331" s="12"/>
      <c r="G331" s="12">
        <v>790</v>
      </c>
      <c r="H331" s="12">
        <v>13</v>
      </c>
      <c r="I331" s="12"/>
      <c r="J331" s="12" t="s">
        <v>118</v>
      </c>
      <c r="K331" s="12" t="b">
        <v>1</v>
      </c>
      <c r="L331" s="12">
        <v>3</v>
      </c>
      <c r="M331" s="8">
        <v>2017</v>
      </c>
      <c r="N331" s="9">
        <v>0</v>
      </c>
      <c r="O331" s="9">
        <v>0</v>
      </c>
      <c r="P331" s="9">
        <v>0</v>
      </c>
      <c r="Q331" s="9">
        <v>0</v>
      </c>
      <c r="R331" s="13">
        <v>41717</v>
      </c>
      <c r="S331" s="13">
        <v>41717</v>
      </c>
    </row>
    <row r="332" spans="1:19">
      <c r="A332" s="10">
        <v>2014</v>
      </c>
      <c r="B332" s="11" t="s">
        <v>489</v>
      </c>
      <c r="C332" s="11" t="s">
        <v>490</v>
      </c>
      <c r="D332" s="12">
        <v>1002052</v>
      </c>
      <c r="E332" s="12">
        <v>2</v>
      </c>
      <c r="F332" s="12"/>
      <c r="G332" s="12">
        <v>90</v>
      </c>
      <c r="H332" s="12">
        <v>1.2</v>
      </c>
      <c r="I332" s="12"/>
      <c r="J332" s="12" t="s">
        <v>53</v>
      </c>
      <c r="K332" s="12" t="b">
        <v>1</v>
      </c>
      <c r="L332" s="12">
        <v>0</v>
      </c>
      <c r="M332" s="8">
        <v>2014</v>
      </c>
      <c r="N332" s="9">
        <v>1548530.29</v>
      </c>
      <c r="O332" s="9">
        <v>1401663.61</v>
      </c>
      <c r="P332" s="9">
        <v>1007330</v>
      </c>
      <c r="Q332" s="9">
        <v>739980.67</v>
      </c>
      <c r="R332" s="13">
        <v>41717</v>
      </c>
      <c r="S332" s="13">
        <v>41717</v>
      </c>
    </row>
    <row r="333" spans="1:19">
      <c r="A333" s="10">
        <v>2014</v>
      </c>
      <c r="B333" s="11" t="s">
        <v>489</v>
      </c>
      <c r="C333" s="11" t="s">
        <v>490</v>
      </c>
      <c r="D333" s="12">
        <v>1002052</v>
      </c>
      <c r="E333" s="12">
        <v>2</v>
      </c>
      <c r="F333" s="12"/>
      <c r="G333" s="12">
        <v>110</v>
      </c>
      <c r="H333" s="12" t="s">
        <v>56</v>
      </c>
      <c r="I333" s="12"/>
      <c r="J333" s="12" t="s">
        <v>57</v>
      </c>
      <c r="K333" s="12" t="b">
        <v>1</v>
      </c>
      <c r="L333" s="12">
        <v>2</v>
      </c>
      <c r="M333" s="8">
        <v>2016</v>
      </c>
      <c r="N333" s="9">
        <v>1405937.3</v>
      </c>
      <c r="O333" s="9">
        <v>1332324.7</v>
      </c>
      <c r="P333" s="9">
        <v>664102</v>
      </c>
      <c r="Q333" s="9">
        <v>720552.67</v>
      </c>
      <c r="R333" s="13">
        <v>41717</v>
      </c>
      <c r="S333" s="13">
        <v>41717</v>
      </c>
    </row>
    <row r="334" spans="1:19">
      <c r="A334" s="10">
        <v>2014</v>
      </c>
      <c r="B334" s="11" t="s">
        <v>489</v>
      </c>
      <c r="C334" s="11" t="s">
        <v>490</v>
      </c>
      <c r="D334" s="12">
        <v>1002052</v>
      </c>
      <c r="E334" s="12">
        <v>2</v>
      </c>
      <c r="F334" s="12"/>
      <c r="G334" s="12">
        <v>730</v>
      </c>
      <c r="H334" s="12">
        <v>12.3</v>
      </c>
      <c r="I334" s="12"/>
      <c r="J334" s="12" t="s">
        <v>108</v>
      </c>
      <c r="K334" s="12" t="b">
        <v>0</v>
      </c>
      <c r="L334" s="12">
        <v>3</v>
      </c>
      <c r="M334" s="8">
        <v>2017</v>
      </c>
      <c r="N334" s="9">
        <v>123162.52</v>
      </c>
      <c r="O334" s="9">
        <v>156869.10999999999</v>
      </c>
      <c r="P334" s="9">
        <v>145119.65</v>
      </c>
      <c r="Q334" s="9">
        <v>138833.24</v>
      </c>
      <c r="R334" s="13">
        <v>41717</v>
      </c>
      <c r="S334" s="13">
        <v>41717</v>
      </c>
    </row>
    <row r="335" spans="1:19">
      <c r="A335" s="10">
        <v>2014</v>
      </c>
      <c r="B335" s="11" t="s">
        <v>489</v>
      </c>
      <c r="C335" s="11" t="s">
        <v>490</v>
      </c>
      <c r="D335" s="12">
        <v>1002052</v>
      </c>
      <c r="E335" s="12">
        <v>2</v>
      </c>
      <c r="F335" s="12"/>
      <c r="G335" s="12">
        <v>332</v>
      </c>
      <c r="H335" s="12" t="s">
        <v>79</v>
      </c>
      <c r="I335" s="12"/>
      <c r="J335" s="12" t="s">
        <v>377</v>
      </c>
      <c r="K335" s="12" t="b">
        <v>1</v>
      </c>
      <c r="L335" s="12">
        <v>2</v>
      </c>
      <c r="M335" s="8">
        <v>2016</v>
      </c>
      <c r="N335" s="9">
        <v>552822</v>
      </c>
      <c r="O335" s="9">
        <v>595645.15</v>
      </c>
      <c r="P335" s="9">
        <v>0</v>
      </c>
      <c r="Q335" s="9">
        <v>0</v>
      </c>
      <c r="R335" s="13">
        <v>41717</v>
      </c>
      <c r="S335" s="13">
        <v>41717</v>
      </c>
    </row>
    <row r="336" spans="1:19">
      <c r="A336" s="10">
        <v>2014</v>
      </c>
      <c r="B336" s="11" t="s">
        <v>489</v>
      </c>
      <c r="C336" s="11" t="s">
        <v>490</v>
      </c>
      <c r="D336" s="12">
        <v>1002052</v>
      </c>
      <c r="E336" s="12">
        <v>2</v>
      </c>
      <c r="F336" s="12"/>
      <c r="G336" s="12">
        <v>140</v>
      </c>
      <c r="H336" s="12" t="s">
        <v>59</v>
      </c>
      <c r="I336" s="12"/>
      <c r="J336" s="12" t="s">
        <v>60</v>
      </c>
      <c r="K336" s="12" t="b">
        <v>1</v>
      </c>
      <c r="L336" s="12">
        <v>1</v>
      </c>
      <c r="M336" s="8">
        <v>2015</v>
      </c>
      <c r="N336" s="9">
        <v>0</v>
      </c>
      <c r="O336" s="9">
        <v>0</v>
      </c>
      <c r="P336" s="9">
        <v>0</v>
      </c>
      <c r="Q336" s="9">
        <v>0</v>
      </c>
      <c r="R336" s="13">
        <v>41717</v>
      </c>
      <c r="S336" s="13">
        <v>41717</v>
      </c>
    </row>
    <row r="337" spans="1:19">
      <c r="A337" s="10">
        <v>2014</v>
      </c>
      <c r="B337" s="11" t="s">
        <v>489</v>
      </c>
      <c r="C337" s="11" t="s">
        <v>490</v>
      </c>
      <c r="D337" s="12">
        <v>1002052</v>
      </c>
      <c r="E337" s="12">
        <v>2</v>
      </c>
      <c r="F337" s="12"/>
      <c r="G337" s="12">
        <v>930</v>
      </c>
      <c r="H337" s="12" t="s">
        <v>133</v>
      </c>
      <c r="I337" s="12"/>
      <c r="J337" s="12" t="s">
        <v>134</v>
      </c>
      <c r="K337" s="12" t="b">
        <v>1</v>
      </c>
      <c r="L337" s="12">
        <v>0</v>
      </c>
      <c r="M337" s="8">
        <v>2014</v>
      </c>
      <c r="N337" s="9">
        <v>0</v>
      </c>
      <c r="O337" s="9">
        <v>0</v>
      </c>
      <c r="P337" s="9">
        <v>0</v>
      </c>
      <c r="Q337" s="9">
        <v>0</v>
      </c>
      <c r="R337" s="13">
        <v>41717</v>
      </c>
      <c r="S337" s="13">
        <v>41717</v>
      </c>
    </row>
    <row r="338" spans="1:19">
      <c r="A338" s="10">
        <v>2014</v>
      </c>
      <c r="B338" s="11" t="s">
        <v>489</v>
      </c>
      <c r="C338" s="11" t="s">
        <v>490</v>
      </c>
      <c r="D338" s="12">
        <v>1002052</v>
      </c>
      <c r="E338" s="12">
        <v>2</v>
      </c>
      <c r="F338" s="12"/>
      <c r="G338" s="12">
        <v>761</v>
      </c>
      <c r="H338" s="12" t="s">
        <v>114</v>
      </c>
      <c r="I338" s="12"/>
      <c r="J338" s="12" t="s">
        <v>115</v>
      </c>
      <c r="K338" s="12" t="b">
        <v>1</v>
      </c>
      <c r="L338" s="12">
        <v>3</v>
      </c>
      <c r="M338" s="8">
        <v>2017</v>
      </c>
      <c r="N338" s="9">
        <v>650923.96</v>
      </c>
      <c r="O338" s="9">
        <v>220814.52</v>
      </c>
      <c r="P338" s="9">
        <v>3401517</v>
      </c>
      <c r="Q338" s="9">
        <v>3180695.36</v>
      </c>
      <c r="R338" s="13">
        <v>41717</v>
      </c>
      <c r="S338" s="13">
        <v>41717</v>
      </c>
    </row>
    <row r="339" spans="1:19">
      <c r="A339" s="10">
        <v>2014</v>
      </c>
      <c r="B339" s="11" t="s">
        <v>489</v>
      </c>
      <c r="C339" s="11" t="s">
        <v>490</v>
      </c>
      <c r="D339" s="12">
        <v>1002052</v>
      </c>
      <c r="E339" s="12">
        <v>2</v>
      </c>
      <c r="F339" s="12"/>
      <c r="G339" s="12">
        <v>720</v>
      </c>
      <c r="H339" s="12" t="s">
        <v>106</v>
      </c>
      <c r="I339" s="12"/>
      <c r="J339" s="12" t="s">
        <v>107</v>
      </c>
      <c r="K339" s="12" t="b">
        <v>0</v>
      </c>
      <c r="L339" s="12">
        <v>3</v>
      </c>
      <c r="M339" s="8">
        <v>2017</v>
      </c>
      <c r="N339" s="9">
        <v>0</v>
      </c>
      <c r="O339" s="9">
        <v>0</v>
      </c>
      <c r="P339" s="9">
        <v>232602</v>
      </c>
      <c r="Q339" s="9">
        <v>232601.81</v>
      </c>
      <c r="R339" s="13">
        <v>41717</v>
      </c>
      <c r="S339" s="13">
        <v>41717</v>
      </c>
    </row>
    <row r="340" spans="1:19">
      <c r="A340" s="10">
        <v>2014</v>
      </c>
      <c r="B340" s="11" t="s">
        <v>489</v>
      </c>
      <c r="C340" s="11" t="s">
        <v>490</v>
      </c>
      <c r="D340" s="12">
        <v>1002052</v>
      </c>
      <c r="E340" s="12">
        <v>2</v>
      </c>
      <c r="F340" s="12"/>
      <c r="G340" s="12">
        <v>940</v>
      </c>
      <c r="H340" s="12">
        <v>14.4</v>
      </c>
      <c r="I340" s="12"/>
      <c r="J340" s="12" t="s">
        <v>135</v>
      </c>
      <c r="K340" s="12" t="b">
        <v>1</v>
      </c>
      <c r="L340" s="12">
        <v>0</v>
      </c>
      <c r="M340" s="8">
        <v>2014</v>
      </c>
      <c r="N340" s="9">
        <v>0</v>
      </c>
      <c r="O340" s="9">
        <v>0</v>
      </c>
      <c r="P340" s="9">
        <v>0</v>
      </c>
      <c r="Q340" s="9">
        <v>0</v>
      </c>
      <c r="R340" s="13">
        <v>41717</v>
      </c>
      <c r="S340" s="13">
        <v>41717</v>
      </c>
    </row>
    <row r="341" spans="1:19">
      <c r="A341" s="10">
        <v>2014</v>
      </c>
      <c r="B341" s="11" t="s">
        <v>489</v>
      </c>
      <c r="C341" s="11" t="s">
        <v>490</v>
      </c>
      <c r="D341" s="12">
        <v>1002052</v>
      </c>
      <c r="E341" s="12">
        <v>2</v>
      </c>
      <c r="F341" s="12"/>
      <c r="G341" s="12">
        <v>250</v>
      </c>
      <c r="H341" s="12" t="s">
        <v>70</v>
      </c>
      <c r="I341" s="12"/>
      <c r="J341" s="12" t="s">
        <v>71</v>
      </c>
      <c r="K341" s="12" t="b">
        <v>0</v>
      </c>
      <c r="L341" s="12">
        <v>3</v>
      </c>
      <c r="M341" s="8">
        <v>2017</v>
      </c>
      <c r="N341" s="9">
        <v>0</v>
      </c>
      <c r="O341" s="9">
        <v>0</v>
      </c>
      <c r="P341" s="9">
        <v>1024306.28</v>
      </c>
      <c r="Q341" s="9">
        <v>733144.51</v>
      </c>
      <c r="R341" s="13">
        <v>41717</v>
      </c>
      <c r="S341" s="13">
        <v>41717</v>
      </c>
    </row>
    <row r="342" spans="1:19">
      <c r="A342" s="10">
        <v>2014</v>
      </c>
      <c r="B342" s="11" t="s">
        <v>489</v>
      </c>
      <c r="C342" s="11" t="s">
        <v>490</v>
      </c>
      <c r="D342" s="12">
        <v>1002052</v>
      </c>
      <c r="E342" s="12">
        <v>2</v>
      </c>
      <c r="F342" s="12"/>
      <c r="G342" s="12">
        <v>740</v>
      </c>
      <c r="H342" s="12" t="s">
        <v>109</v>
      </c>
      <c r="I342" s="12"/>
      <c r="J342" s="12" t="s">
        <v>110</v>
      </c>
      <c r="K342" s="12" t="b">
        <v>0</v>
      </c>
      <c r="L342" s="12">
        <v>3</v>
      </c>
      <c r="M342" s="8">
        <v>2017</v>
      </c>
      <c r="N342" s="9">
        <v>104205.63</v>
      </c>
      <c r="O342" s="9">
        <v>133542.57999999999</v>
      </c>
      <c r="P342" s="9">
        <v>123351.7</v>
      </c>
      <c r="Q342" s="9">
        <v>120259.63</v>
      </c>
      <c r="R342" s="13">
        <v>41717</v>
      </c>
      <c r="S342" s="13">
        <v>41717</v>
      </c>
    </row>
    <row r="343" spans="1:19">
      <c r="A343" s="10">
        <v>2014</v>
      </c>
      <c r="B343" s="11" t="s">
        <v>489</v>
      </c>
      <c r="C343" s="11" t="s">
        <v>490</v>
      </c>
      <c r="D343" s="12">
        <v>1002052</v>
      </c>
      <c r="E343" s="12">
        <v>2</v>
      </c>
      <c r="F343" s="12"/>
      <c r="G343" s="12">
        <v>766</v>
      </c>
      <c r="H343" s="12" t="s">
        <v>409</v>
      </c>
      <c r="I343" s="12"/>
      <c r="J343" s="12" t="s">
        <v>406</v>
      </c>
      <c r="K343" s="12" t="b">
        <v>1</v>
      </c>
      <c r="L343" s="12">
        <v>1</v>
      </c>
      <c r="M343" s="8">
        <v>2015</v>
      </c>
      <c r="N343" s="9">
        <v>0</v>
      </c>
      <c r="O343" s="9">
        <v>0</v>
      </c>
      <c r="P343" s="9">
        <v>0</v>
      </c>
      <c r="Q343" s="9">
        <v>0</v>
      </c>
      <c r="R343" s="13">
        <v>41717</v>
      </c>
      <c r="S343" s="13">
        <v>41717</v>
      </c>
    </row>
    <row r="344" spans="1:19">
      <c r="A344" s="10">
        <v>2014</v>
      </c>
      <c r="B344" s="11" t="s">
        <v>489</v>
      </c>
      <c r="C344" s="11" t="s">
        <v>490</v>
      </c>
      <c r="D344" s="12">
        <v>1002052</v>
      </c>
      <c r="E344" s="12">
        <v>2</v>
      </c>
      <c r="F344" s="12"/>
      <c r="G344" s="12">
        <v>150</v>
      </c>
      <c r="H344" s="12" t="s">
        <v>61</v>
      </c>
      <c r="I344" s="12"/>
      <c r="J344" s="12" t="s">
        <v>364</v>
      </c>
      <c r="K344" s="12" t="b">
        <v>1</v>
      </c>
      <c r="L344" s="12">
        <v>3</v>
      </c>
      <c r="M344" s="8">
        <v>2017</v>
      </c>
      <c r="N344" s="9">
        <v>0</v>
      </c>
      <c r="O344" s="9">
        <v>0</v>
      </c>
      <c r="P344" s="9">
        <v>0</v>
      </c>
      <c r="Q344" s="9">
        <v>0</v>
      </c>
      <c r="R344" s="13">
        <v>41717</v>
      </c>
      <c r="S344" s="13">
        <v>41717</v>
      </c>
    </row>
    <row r="345" spans="1:19">
      <c r="A345" s="10">
        <v>2014</v>
      </c>
      <c r="B345" s="11" t="s">
        <v>489</v>
      </c>
      <c r="C345" s="11" t="s">
        <v>490</v>
      </c>
      <c r="D345" s="12">
        <v>1002052</v>
      </c>
      <c r="E345" s="12">
        <v>2</v>
      </c>
      <c r="F345" s="12"/>
      <c r="G345" s="12">
        <v>680</v>
      </c>
      <c r="H345" s="12" t="s">
        <v>99</v>
      </c>
      <c r="I345" s="12"/>
      <c r="J345" s="12" t="s">
        <v>100</v>
      </c>
      <c r="K345" s="12" t="b">
        <v>1</v>
      </c>
      <c r="L345" s="12">
        <v>3</v>
      </c>
      <c r="M345" s="8">
        <v>2017</v>
      </c>
      <c r="N345" s="9">
        <v>104205.75</v>
      </c>
      <c r="O345" s="9">
        <v>160689</v>
      </c>
      <c r="P345" s="9">
        <v>96205.25</v>
      </c>
      <c r="Q345" s="9">
        <v>93191.67</v>
      </c>
      <c r="R345" s="13">
        <v>41717</v>
      </c>
      <c r="S345" s="13">
        <v>41717</v>
      </c>
    </row>
    <row r="346" spans="1:19">
      <c r="A346" s="10">
        <v>2014</v>
      </c>
      <c r="B346" s="11" t="s">
        <v>489</v>
      </c>
      <c r="C346" s="11" t="s">
        <v>490</v>
      </c>
      <c r="D346" s="12">
        <v>1002052</v>
      </c>
      <c r="E346" s="12">
        <v>2</v>
      </c>
      <c r="F346" s="12"/>
      <c r="G346" s="12">
        <v>130</v>
      </c>
      <c r="H346" s="12">
        <v>2.1</v>
      </c>
      <c r="I346" s="12"/>
      <c r="J346" s="12" t="s">
        <v>58</v>
      </c>
      <c r="K346" s="12" t="b">
        <v>1</v>
      </c>
      <c r="L346" s="12">
        <v>2</v>
      </c>
      <c r="M346" s="8">
        <v>2016</v>
      </c>
      <c r="N346" s="9">
        <v>9211865.6600000001</v>
      </c>
      <c r="O346" s="9">
        <v>9055670.4299999997</v>
      </c>
      <c r="P346" s="9">
        <v>9959324.6999999993</v>
      </c>
      <c r="Q346" s="9">
        <v>9384342.0399999991</v>
      </c>
      <c r="R346" s="13">
        <v>41717</v>
      </c>
      <c r="S346" s="13">
        <v>41717</v>
      </c>
    </row>
    <row r="347" spans="1:19">
      <c r="A347" s="10">
        <v>2014</v>
      </c>
      <c r="B347" s="11" t="s">
        <v>489</v>
      </c>
      <c r="C347" s="11" t="s">
        <v>490</v>
      </c>
      <c r="D347" s="12">
        <v>1002052</v>
      </c>
      <c r="E347" s="12">
        <v>2</v>
      </c>
      <c r="F347" s="12"/>
      <c r="G347" s="12">
        <v>270</v>
      </c>
      <c r="H347" s="12" t="s">
        <v>73</v>
      </c>
      <c r="I347" s="12"/>
      <c r="J347" s="12" t="s">
        <v>71</v>
      </c>
      <c r="K347" s="12" t="b">
        <v>1</v>
      </c>
      <c r="L347" s="12">
        <v>3</v>
      </c>
      <c r="M347" s="8">
        <v>2017</v>
      </c>
      <c r="N347" s="9">
        <v>1100222.42</v>
      </c>
      <c r="O347" s="9">
        <v>0</v>
      </c>
      <c r="P347" s="9">
        <v>89000</v>
      </c>
      <c r="Q347" s="9">
        <v>89000</v>
      </c>
      <c r="R347" s="13">
        <v>41717</v>
      </c>
      <c r="S347" s="13">
        <v>41717</v>
      </c>
    </row>
    <row r="348" spans="1:19">
      <c r="A348" s="10">
        <v>2014</v>
      </c>
      <c r="B348" s="11" t="s">
        <v>489</v>
      </c>
      <c r="C348" s="11" t="s">
        <v>490</v>
      </c>
      <c r="D348" s="12">
        <v>1002052</v>
      </c>
      <c r="E348" s="12">
        <v>2</v>
      </c>
      <c r="F348" s="12"/>
      <c r="G348" s="12">
        <v>880</v>
      </c>
      <c r="H348" s="12">
        <v>14.1</v>
      </c>
      <c r="I348" s="12"/>
      <c r="J348" s="12" t="s">
        <v>127</v>
      </c>
      <c r="K348" s="12" t="b">
        <v>1</v>
      </c>
      <c r="L348" s="12">
        <v>3</v>
      </c>
      <c r="M348" s="8">
        <v>2017</v>
      </c>
      <c r="N348" s="9">
        <v>601088.34</v>
      </c>
      <c r="O348" s="9">
        <v>1278520.75</v>
      </c>
      <c r="P348" s="9">
        <v>737521.46</v>
      </c>
      <c r="Q348" s="9">
        <v>737521.46</v>
      </c>
      <c r="R348" s="13">
        <v>41717</v>
      </c>
      <c r="S348" s="13">
        <v>41717</v>
      </c>
    </row>
    <row r="349" spans="1:19">
      <c r="A349" s="10">
        <v>2014</v>
      </c>
      <c r="B349" s="11" t="s">
        <v>489</v>
      </c>
      <c r="C349" s="11" t="s">
        <v>490</v>
      </c>
      <c r="D349" s="12">
        <v>1002052</v>
      </c>
      <c r="E349" s="12">
        <v>2</v>
      </c>
      <c r="F349" s="12"/>
      <c r="G349" s="12">
        <v>840</v>
      </c>
      <c r="H349" s="12">
        <v>13.5</v>
      </c>
      <c r="I349" s="12"/>
      <c r="J349" s="12" t="s">
        <v>123</v>
      </c>
      <c r="K349" s="12" t="b">
        <v>1</v>
      </c>
      <c r="L349" s="12">
        <v>2</v>
      </c>
      <c r="M349" s="8">
        <v>2016</v>
      </c>
      <c r="N349" s="9">
        <v>0</v>
      </c>
      <c r="O349" s="9">
        <v>0</v>
      </c>
      <c r="P349" s="9">
        <v>0</v>
      </c>
      <c r="Q349" s="9">
        <v>0</v>
      </c>
      <c r="R349" s="13">
        <v>41717</v>
      </c>
      <c r="S349" s="13">
        <v>41717</v>
      </c>
    </row>
    <row r="350" spans="1:19">
      <c r="A350" s="10">
        <v>2014</v>
      </c>
      <c r="B350" s="11" t="s">
        <v>489</v>
      </c>
      <c r="C350" s="11" t="s">
        <v>490</v>
      </c>
      <c r="D350" s="12">
        <v>1002052</v>
      </c>
      <c r="E350" s="12">
        <v>2</v>
      </c>
      <c r="F350" s="12"/>
      <c r="G350" s="12">
        <v>30</v>
      </c>
      <c r="H350" s="12" t="s">
        <v>41</v>
      </c>
      <c r="I350" s="12"/>
      <c r="J350" s="12" t="s">
        <v>42</v>
      </c>
      <c r="K350" s="12" t="b">
        <v>1</v>
      </c>
      <c r="L350" s="12">
        <v>1</v>
      </c>
      <c r="M350" s="8">
        <v>2015</v>
      </c>
      <c r="N350" s="9">
        <v>976091</v>
      </c>
      <c r="O350" s="9">
        <v>1398132</v>
      </c>
      <c r="P350" s="9">
        <v>1443005</v>
      </c>
      <c r="Q350" s="9">
        <v>1390365</v>
      </c>
      <c r="R350" s="13">
        <v>41717</v>
      </c>
      <c r="S350" s="13">
        <v>41717</v>
      </c>
    </row>
    <row r="351" spans="1:19">
      <c r="A351" s="10">
        <v>2014</v>
      </c>
      <c r="B351" s="11" t="s">
        <v>489</v>
      </c>
      <c r="C351" s="11" t="s">
        <v>490</v>
      </c>
      <c r="D351" s="12">
        <v>1002052</v>
      </c>
      <c r="E351" s="12">
        <v>2</v>
      </c>
      <c r="F351" s="12"/>
      <c r="G351" s="12">
        <v>290</v>
      </c>
      <c r="H351" s="12" t="s">
        <v>75</v>
      </c>
      <c r="I351" s="12"/>
      <c r="J351" s="12" t="s">
        <v>71</v>
      </c>
      <c r="K351" s="12" t="b">
        <v>0</v>
      </c>
      <c r="L351" s="12">
        <v>2</v>
      </c>
      <c r="M351" s="8">
        <v>2016</v>
      </c>
      <c r="N351" s="9">
        <v>0</v>
      </c>
      <c r="O351" s="9">
        <v>0</v>
      </c>
      <c r="P351" s="9">
        <v>0</v>
      </c>
      <c r="Q351" s="9">
        <v>0</v>
      </c>
      <c r="R351" s="13">
        <v>41717</v>
      </c>
      <c r="S351" s="13">
        <v>41717</v>
      </c>
    </row>
    <row r="352" spans="1:19">
      <c r="A352" s="10">
        <v>2014</v>
      </c>
      <c r="B352" s="11" t="s">
        <v>489</v>
      </c>
      <c r="C352" s="11" t="s">
        <v>490</v>
      </c>
      <c r="D352" s="12">
        <v>1002052</v>
      </c>
      <c r="E352" s="12">
        <v>2</v>
      </c>
      <c r="F352" s="12"/>
      <c r="G352" s="12">
        <v>190</v>
      </c>
      <c r="H352" s="12">
        <v>2.2000000000000002</v>
      </c>
      <c r="I352" s="12"/>
      <c r="J352" s="12" t="s">
        <v>65</v>
      </c>
      <c r="K352" s="12" t="b">
        <v>0</v>
      </c>
      <c r="L352" s="12">
        <v>1</v>
      </c>
      <c r="M352" s="8">
        <v>2015</v>
      </c>
      <c r="N352" s="9">
        <v>3624050.32</v>
      </c>
      <c r="O352" s="9">
        <v>2425876</v>
      </c>
      <c r="P352" s="9">
        <v>4625376</v>
      </c>
      <c r="Q352" s="9">
        <v>4393188.7</v>
      </c>
      <c r="R352" s="13">
        <v>41717</v>
      </c>
      <c r="S352" s="13">
        <v>41717</v>
      </c>
    </row>
    <row r="353" spans="1:19">
      <c r="A353" s="10">
        <v>2014</v>
      </c>
      <c r="B353" s="11" t="s">
        <v>489</v>
      </c>
      <c r="C353" s="11" t="s">
        <v>490</v>
      </c>
      <c r="D353" s="12">
        <v>1002052</v>
      </c>
      <c r="E353" s="12">
        <v>2</v>
      </c>
      <c r="F353" s="12"/>
      <c r="G353" s="12">
        <v>950</v>
      </c>
      <c r="H353" s="12">
        <v>15</v>
      </c>
      <c r="I353" s="12"/>
      <c r="J353" s="12" t="s">
        <v>417</v>
      </c>
      <c r="K353" s="12" t="b">
        <v>1</v>
      </c>
      <c r="L353" s="12">
        <v>1</v>
      </c>
      <c r="M353" s="8">
        <v>2015</v>
      </c>
      <c r="N353" s="9">
        <v>0</v>
      </c>
      <c r="O353" s="9">
        <v>0</v>
      </c>
      <c r="P353" s="9">
        <v>0</v>
      </c>
      <c r="Q353" s="9">
        <v>0</v>
      </c>
      <c r="R353" s="13">
        <v>41717</v>
      </c>
      <c r="S353" s="13">
        <v>41717</v>
      </c>
    </row>
    <row r="354" spans="1:19">
      <c r="A354" s="10">
        <v>2014</v>
      </c>
      <c r="B354" s="11" t="s">
        <v>489</v>
      </c>
      <c r="C354" s="11" t="s">
        <v>490</v>
      </c>
      <c r="D354" s="12">
        <v>1002052</v>
      </c>
      <c r="E354" s="12">
        <v>2</v>
      </c>
      <c r="F354" s="12"/>
      <c r="G354" s="12">
        <v>640</v>
      </c>
      <c r="H354" s="12">
        <v>11.5</v>
      </c>
      <c r="I354" s="12"/>
      <c r="J354" s="12" t="s">
        <v>95</v>
      </c>
      <c r="K354" s="12" t="b">
        <v>1</v>
      </c>
      <c r="L354" s="12">
        <v>1</v>
      </c>
      <c r="M354" s="8">
        <v>2015</v>
      </c>
      <c r="N354" s="9">
        <v>2450536</v>
      </c>
      <c r="O354" s="9">
        <v>1590835.04</v>
      </c>
      <c r="P354" s="9">
        <v>1184859</v>
      </c>
      <c r="Q354" s="9">
        <v>1184793.3400000001</v>
      </c>
      <c r="R354" s="13">
        <v>41717</v>
      </c>
      <c r="S354" s="13">
        <v>41717</v>
      </c>
    </row>
    <row r="355" spans="1:19">
      <c r="A355" s="10">
        <v>2014</v>
      </c>
      <c r="B355" s="11" t="s">
        <v>489</v>
      </c>
      <c r="C355" s="11" t="s">
        <v>490</v>
      </c>
      <c r="D355" s="12">
        <v>1002052</v>
      </c>
      <c r="E355" s="12">
        <v>2</v>
      </c>
      <c r="F355" s="12"/>
      <c r="G355" s="12">
        <v>350</v>
      </c>
      <c r="H355" s="12">
        <v>6</v>
      </c>
      <c r="I355" s="12"/>
      <c r="J355" s="12" t="s">
        <v>25</v>
      </c>
      <c r="K355" s="12" t="b">
        <v>1</v>
      </c>
      <c r="L355" s="12">
        <v>2</v>
      </c>
      <c r="M355" s="8">
        <v>2016</v>
      </c>
      <c r="N355" s="9">
        <v>2552998.4</v>
      </c>
      <c r="O355" s="9">
        <v>1422477.65</v>
      </c>
      <c r="P355" s="9">
        <v>773956.19</v>
      </c>
      <c r="Q355" s="9">
        <v>773956.19</v>
      </c>
      <c r="R355" s="13">
        <v>41717</v>
      </c>
      <c r="S355" s="13">
        <v>41717</v>
      </c>
    </row>
    <row r="356" spans="1:19">
      <c r="A356" s="10">
        <v>2014</v>
      </c>
      <c r="B356" s="11" t="s">
        <v>489</v>
      </c>
      <c r="C356" s="11" t="s">
        <v>490</v>
      </c>
      <c r="D356" s="12">
        <v>1002052</v>
      </c>
      <c r="E356" s="12">
        <v>2</v>
      </c>
      <c r="F356" s="12"/>
      <c r="G356" s="12">
        <v>90</v>
      </c>
      <c r="H356" s="12">
        <v>1.2</v>
      </c>
      <c r="I356" s="12"/>
      <c r="J356" s="12" t="s">
        <v>53</v>
      </c>
      <c r="K356" s="12" t="b">
        <v>1</v>
      </c>
      <c r="L356" s="12">
        <v>1</v>
      </c>
      <c r="M356" s="8">
        <v>2015</v>
      </c>
      <c r="N356" s="9">
        <v>1548530.29</v>
      </c>
      <c r="O356" s="9">
        <v>1401663.61</v>
      </c>
      <c r="P356" s="9">
        <v>1007330</v>
      </c>
      <c r="Q356" s="9">
        <v>739980.67</v>
      </c>
      <c r="R356" s="13">
        <v>41717</v>
      </c>
      <c r="S356" s="13">
        <v>41717</v>
      </c>
    </row>
    <row r="357" spans="1:19">
      <c r="A357" s="10">
        <v>2014</v>
      </c>
      <c r="B357" s="11" t="s">
        <v>489</v>
      </c>
      <c r="C357" s="11" t="s">
        <v>490</v>
      </c>
      <c r="D357" s="12">
        <v>1002052</v>
      </c>
      <c r="E357" s="12">
        <v>2</v>
      </c>
      <c r="F357" s="12"/>
      <c r="G357" s="12">
        <v>740</v>
      </c>
      <c r="H357" s="12" t="s">
        <v>109</v>
      </c>
      <c r="I357" s="12"/>
      <c r="J357" s="12" t="s">
        <v>110</v>
      </c>
      <c r="K357" s="12" t="b">
        <v>0</v>
      </c>
      <c r="L357" s="12">
        <v>0</v>
      </c>
      <c r="M357" s="8">
        <v>2014</v>
      </c>
      <c r="N357" s="9">
        <v>104205.63</v>
      </c>
      <c r="O357" s="9">
        <v>133542.57999999999</v>
      </c>
      <c r="P357" s="9">
        <v>123351.7</v>
      </c>
      <c r="Q357" s="9">
        <v>120259.63</v>
      </c>
      <c r="R357" s="13">
        <v>41717</v>
      </c>
      <c r="S357" s="13">
        <v>41717</v>
      </c>
    </row>
    <row r="358" spans="1:19">
      <c r="A358" s="10">
        <v>2014</v>
      </c>
      <c r="B358" s="11" t="s">
        <v>489</v>
      </c>
      <c r="C358" s="11" t="s">
        <v>490</v>
      </c>
      <c r="D358" s="12">
        <v>1002052</v>
      </c>
      <c r="E358" s="12">
        <v>2</v>
      </c>
      <c r="F358" s="12"/>
      <c r="G358" s="12">
        <v>765</v>
      </c>
      <c r="H358" s="12">
        <v>12.6</v>
      </c>
      <c r="I358" s="12"/>
      <c r="J358" s="12" t="s">
        <v>408</v>
      </c>
      <c r="K358" s="12" t="b">
        <v>1</v>
      </c>
      <c r="L358" s="12">
        <v>1</v>
      </c>
      <c r="M358" s="8">
        <v>2015</v>
      </c>
      <c r="N358" s="9">
        <v>0</v>
      </c>
      <c r="O358" s="9">
        <v>0</v>
      </c>
      <c r="P358" s="9">
        <v>0</v>
      </c>
      <c r="Q358" s="9">
        <v>0</v>
      </c>
      <c r="R358" s="13">
        <v>41717</v>
      </c>
      <c r="S358" s="13">
        <v>41717</v>
      </c>
    </row>
    <row r="359" spans="1:19">
      <c r="A359" s="10">
        <v>2014</v>
      </c>
      <c r="B359" s="11" t="s">
        <v>489</v>
      </c>
      <c r="C359" s="11" t="s">
        <v>490</v>
      </c>
      <c r="D359" s="12">
        <v>1002052</v>
      </c>
      <c r="E359" s="12">
        <v>2</v>
      </c>
      <c r="F359" s="12"/>
      <c r="G359" s="12">
        <v>80</v>
      </c>
      <c r="H359" s="12" t="s">
        <v>51</v>
      </c>
      <c r="I359" s="12"/>
      <c r="J359" s="12" t="s">
        <v>52</v>
      </c>
      <c r="K359" s="12" t="b">
        <v>1</v>
      </c>
      <c r="L359" s="12">
        <v>1</v>
      </c>
      <c r="M359" s="8">
        <v>2015</v>
      </c>
      <c r="N359" s="9">
        <v>2073142.05</v>
      </c>
      <c r="O359" s="9">
        <v>2060950.81</v>
      </c>
      <c r="P359" s="9">
        <v>1980030.02</v>
      </c>
      <c r="Q359" s="9">
        <v>2099883.4300000002</v>
      </c>
      <c r="R359" s="13">
        <v>41717</v>
      </c>
      <c r="S359" s="13">
        <v>41717</v>
      </c>
    </row>
    <row r="360" spans="1:19">
      <c r="A360" s="10">
        <v>2014</v>
      </c>
      <c r="B360" s="11" t="s">
        <v>489</v>
      </c>
      <c r="C360" s="11" t="s">
        <v>490</v>
      </c>
      <c r="D360" s="12">
        <v>1002052</v>
      </c>
      <c r="E360" s="12">
        <v>2</v>
      </c>
      <c r="F360" s="12"/>
      <c r="G360" s="12">
        <v>332</v>
      </c>
      <c r="H360" s="12" t="s">
        <v>79</v>
      </c>
      <c r="I360" s="12"/>
      <c r="J360" s="12" t="s">
        <v>377</v>
      </c>
      <c r="K360" s="12" t="b">
        <v>1</v>
      </c>
      <c r="L360" s="12">
        <v>3</v>
      </c>
      <c r="M360" s="8">
        <v>2017</v>
      </c>
      <c r="N360" s="9">
        <v>552822</v>
      </c>
      <c r="O360" s="9">
        <v>595645.15</v>
      </c>
      <c r="P360" s="9">
        <v>0</v>
      </c>
      <c r="Q360" s="9">
        <v>0</v>
      </c>
      <c r="R360" s="13">
        <v>41717</v>
      </c>
      <c r="S360" s="13">
        <v>41717</v>
      </c>
    </row>
    <row r="361" spans="1:19">
      <c r="A361" s="10">
        <v>2014</v>
      </c>
      <c r="B361" s="11" t="s">
        <v>489</v>
      </c>
      <c r="C361" s="11" t="s">
        <v>490</v>
      </c>
      <c r="D361" s="12">
        <v>1002052</v>
      </c>
      <c r="E361" s="12">
        <v>2</v>
      </c>
      <c r="F361" s="12"/>
      <c r="G361" s="12">
        <v>500</v>
      </c>
      <c r="H361" s="12">
        <v>9.4</v>
      </c>
      <c r="I361" s="12" t="s">
        <v>390</v>
      </c>
      <c r="J361" s="12" t="s">
        <v>391</v>
      </c>
      <c r="K361" s="12" t="b">
        <v>0</v>
      </c>
      <c r="L361" s="12">
        <v>2</v>
      </c>
      <c r="M361" s="8">
        <v>2016</v>
      </c>
      <c r="N361" s="9">
        <v>7.4000000000000003E-3</v>
      </c>
      <c r="O361" s="9">
        <v>5.45E-2</v>
      </c>
      <c r="P361" s="9">
        <v>6.1800000000000001E-2</v>
      </c>
      <c r="Q361" s="9">
        <v>6.0900000000000003E-2</v>
      </c>
      <c r="R361" s="13">
        <v>41717</v>
      </c>
      <c r="S361" s="13">
        <v>41717</v>
      </c>
    </row>
    <row r="362" spans="1:19">
      <c r="A362" s="10">
        <v>2014</v>
      </c>
      <c r="B362" s="11" t="s">
        <v>489</v>
      </c>
      <c r="C362" s="11" t="s">
        <v>490</v>
      </c>
      <c r="D362" s="12">
        <v>1002052</v>
      </c>
      <c r="E362" s="12">
        <v>2</v>
      </c>
      <c r="F362" s="12"/>
      <c r="G362" s="12">
        <v>290</v>
      </c>
      <c r="H362" s="12" t="s">
        <v>75</v>
      </c>
      <c r="I362" s="12"/>
      <c r="J362" s="12" t="s">
        <v>71</v>
      </c>
      <c r="K362" s="12" t="b">
        <v>0</v>
      </c>
      <c r="L362" s="12">
        <v>1</v>
      </c>
      <c r="M362" s="8">
        <v>2015</v>
      </c>
      <c r="N362" s="9">
        <v>0</v>
      </c>
      <c r="O362" s="9">
        <v>0</v>
      </c>
      <c r="P362" s="9">
        <v>0</v>
      </c>
      <c r="Q362" s="9">
        <v>0</v>
      </c>
      <c r="R362" s="13">
        <v>41717</v>
      </c>
      <c r="S362" s="13">
        <v>41717</v>
      </c>
    </row>
    <row r="363" spans="1:19">
      <c r="A363" s="10">
        <v>2014</v>
      </c>
      <c r="B363" s="11" t="s">
        <v>489</v>
      </c>
      <c r="C363" s="11" t="s">
        <v>490</v>
      </c>
      <c r="D363" s="12">
        <v>1002052</v>
      </c>
      <c r="E363" s="12">
        <v>2</v>
      </c>
      <c r="F363" s="12"/>
      <c r="G363" s="12">
        <v>440</v>
      </c>
      <c r="H363" s="12">
        <v>9</v>
      </c>
      <c r="I363" s="12"/>
      <c r="J363" s="12" t="s">
        <v>149</v>
      </c>
      <c r="K363" s="12" t="b">
        <v>0</v>
      </c>
      <c r="L363" s="12">
        <v>2</v>
      </c>
      <c r="M363" s="8">
        <v>2016</v>
      </c>
      <c r="N363" s="9">
        <v>0</v>
      </c>
      <c r="O363" s="9">
        <v>0</v>
      </c>
      <c r="P363" s="9">
        <v>0</v>
      </c>
      <c r="Q363" s="9">
        <v>0</v>
      </c>
      <c r="R363" s="13">
        <v>41717</v>
      </c>
      <c r="S363" s="13">
        <v>41717</v>
      </c>
    </row>
    <row r="364" spans="1:19">
      <c r="A364" s="10">
        <v>2014</v>
      </c>
      <c r="B364" s="11" t="s">
        <v>489</v>
      </c>
      <c r="C364" s="11" t="s">
        <v>490</v>
      </c>
      <c r="D364" s="12">
        <v>1002052</v>
      </c>
      <c r="E364" s="12">
        <v>2</v>
      </c>
      <c r="F364" s="12"/>
      <c r="G364" s="12">
        <v>900</v>
      </c>
      <c r="H364" s="12">
        <v>14.3</v>
      </c>
      <c r="I364" s="12"/>
      <c r="J364" s="12" t="s">
        <v>129</v>
      </c>
      <c r="K364" s="12" t="b">
        <v>1</v>
      </c>
      <c r="L364" s="12">
        <v>2</v>
      </c>
      <c r="M364" s="8">
        <v>2016</v>
      </c>
      <c r="N364" s="9">
        <v>0</v>
      </c>
      <c r="O364" s="9">
        <v>0</v>
      </c>
      <c r="P364" s="9">
        <v>0</v>
      </c>
      <c r="Q364" s="9">
        <v>0</v>
      </c>
      <c r="R364" s="13">
        <v>41717</v>
      </c>
      <c r="S364" s="13">
        <v>41717</v>
      </c>
    </row>
    <row r="365" spans="1:19">
      <c r="A365" s="10">
        <v>2014</v>
      </c>
      <c r="B365" s="11" t="s">
        <v>489</v>
      </c>
      <c r="C365" s="11" t="s">
        <v>490</v>
      </c>
      <c r="D365" s="12">
        <v>1002052</v>
      </c>
      <c r="E365" s="12">
        <v>2</v>
      </c>
      <c r="F365" s="12"/>
      <c r="G365" s="12">
        <v>590</v>
      </c>
      <c r="H365" s="12">
        <v>11.2</v>
      </c>
      <c r="I365" s="12"/>
      <c r="J365" s="12" t="s">
        <v>89</v>
      </c>
      <c r="K365" s="12" t="b">
        <v>1</v>
      </c>
      <c r="L365" s="12">
        <v>0</v>
      </c>
      <c r="M365" s="8">
        <v>2014</v>
      </c>
      <c r="N365" s="9">
        <v>1397090.95</v>
      </c>
      <c r="O365" s="9">
        <v>1438877.18</v>
      </c>
      <c r="P365" s="9">
        <v>1491519</v>
      </c>
      <c r="Q365" s="9">
        <v>1343112.1</v>
      </c>
      <c r="R365" s="13">
        <v>41717</v>
      </c>
      <c r="S365" s="13">
        <v>41717</v>
      </c>
    </row>
    <row r="366" spans="1:19">
      <c r="A366" s="10">
        <v>2014</v>
      </c>
      <c r="B366" s="11" t="s">
        <v>489</v>
      </c>
      <c r="C366" s="11" t="s">
        <v>490</v>
      </c>
      <c r="D366" s="12">
        <v>1002052</v>
      </c>
      <c r="E366" s="12">
        <v>2</v>
      </c>
      <c r="F366" s="12"/>
      <c r="G366" s="12">
        <v>520</v>
      </c>
      <c r="H366" s="12" t="s">
        <v>83</v>
      </c>
      <c r="I366" s="12"/>
      <c r="J366" s="12" t="s">
        <v>396</v>
      </c>
      <c r="K366" s="12" t="b">
        <v>1</v>
      </c>
      <c r="L366" s="12">
        <v>0</v>
      </c>
      <c r="M366" s="8">
        <v>2014</v>
      </c>
      <c r="N366" s="9">
        <v>0</v>
      </c>
      <c r="O366" s="9">
        <v>0</v>
      </c>
      <c r="P366" s="9">
        <v>0</v>
      </c>
      <c r="Q366" s="9">
        <v>0</v>
      </c>
      <c r="R366" s="13">
        <v>41717</v>
      </c>
      <c r="S366" s="13">
        <v>41717</v>
      </c>
    </row>
    <row r="367" spans="1:19">
      <c r="A367" s="10">
        <v>2014</v>
      </c>
      <c r="B367" s="11" t="s">
        <v>489</v>
      </c>
      <c r="C367" s="11" t="s">
        <v>490</v>
      </c>
      <c r="D367" s="12">
        <v>1002052</v>
      </c>
      <c r="E367" s="12">
        <v>2</v>
      </c>
      <c r="F367" s="12"/>
      <c r="G367" s="12">
        <v>180</v>
      </c>
      <c r="H367" s="12" t="s">
        <v>64</v>
      </c>
      <c r="I367" s="12"/>
      <c r="J367" s="12" t="s">
        <v>367</v>
      </c>
      <c r="K367" s="12" t="b">
        <v>0</v>
      </c>
      <c r="L367" s="12">
        <v>3</v>
      </c>
      <c r="M367" s="8">
        <v>2017</v>
      </c>
      <c r="N367" s="9">
        <v>38272.47</v>
      </c>
      <c r="O367" s="9">
        <v>83194.59</v>
      </c>
      <c r="P367" s="9">
        <v>95000</v>
      </c>
      <c r="Q367" s="9">
        <v>36075.83</v>
      </c>
      <c r="R367" s="13">
        <v>41717</v>
      </c>
      <c r="S367" s="13">
        <v>41717</v>
      </c>
    </row>
    <row r="368" spans="1:19">
      <c r="A368" s="10">
        <v>2014</v>
      </c>
      <c r="B368" s="11" t="s">
        <v>489</v>
      </c>
      <c r="C368" s="11" t="s">
        <v>490</v>
      </c>
      <c r="D368" s="12">
        <v>1002052</v>
      </c>
      <c r="E368" s="12">
        <v>2</v>
      </c>
      <c r="F368" s="12"/>
      <c r="G368" s="12">
        <v>763</v>
      </c>
      <c r="H368" s="12">
        <v>12.5</v>
      </c>
      <c r="I368" s="12"/>
      <c r="J368" s="12" t="s">
        <v>404</v>
      </c>
      <c r="K368" s="12" t="b">
        <v>1</v>
      </c>
      <c r="L368" s="12">
        <v>0</v>
      </c>
      <c r="M368" s="8">
        <v>2014</v>
      </c>
      <c r="N368" s="9">
        <v>0</v>
      </c>
      <c r="O368" s="9">
        <v>0</v>
      </c>
      <c r="P368" s="9">
        <v>0</v>
      </c>
      <c r="Q368" s="9">
        <v>0</v>
      </c>
      <c r="R368" s="13">
        <v>41717</v>
      </c>
      <c r="S368" s="13">
        <v>41717</v>
      </c>
    </row>
    <row r="369" spans="1:19">
      <c r="A369" s="10">
        <v>2014</v>
      </c>
      <c r="B369" s="11" t="s">
        <v>489</v>
      </c>
      <c r="C369" s="11" t="s">
        <v>490</v>
      </c>
      <c r="D369" s="12">
        <v>1002052</v>
      </c>
      <c r="E369" s="12">
        <v>2</v>
      </c>
      <c r="F369" s="12"/>
      <c r="G369" s="12">
        <v>770</v>
      </c>
      <c r="H369" s="12" t="s">
        <v>415</v>
      </c>
      <c r="I369" s="12"/>
      <c r="J369" s="12" t="s">
        <v>406</v>
      </c>
      <c r="K369" s="12" t="b">
        <v>1</v>
      </c>
      <c r="L369" s="12">
        <v>3</v>
      </c>
      <c r="M369" s="8">
        <v>2017</v>
      </c>
      <c r="N369" s="9">
        <v>0</v>
      </c>
      <c r="O369" s="9">
        <v>0</v>
      </c>
      <c r="P369" s="9">
        <v>0</v>
      </c>
      <c r="Q369" s="9">
        <v>0</v>
      </c>
      <c r="R369" s="13">
        <v>41717</v>
      </c>
      <c r="S369" s="13">
        <v>41717</v>
      </c>
    </row>
    <row r="370" spans="1:19">
      <c r="A370" s="10">
        <v>2014</v>
      </c>
      <c r="B370" s="11" t="s">
        <v>489</v>
      </c>
      <c r="C370" s="11" t="s">
        <v>490</v>
      </c>
      <c r="D370" s="12">
        <v>1002052</v>
      </c>
      <c r="E370" s="12">
        <v>2</v>
      </c>
      <c r="F370" s="12"/>
      <c r="G370" s="12">
        <v>336</v>
      </c>
      <c r="H370" s="12" t="s">
        <v>380</v>
      </c>
      <c r="I370" s="12"/>
      <c r="J370" s="12" t="s">
        <v>381</v>
      </c>
      <c r="K370" s="12" t="b">
        <v>1</v>
      </c>
      <c r="L370" s="12">
        <v>1</v>
      </c>
      <c r="M370" s="8">
        <v>2015</v>
      </c>
      <c r="N370" s="9">
        <v>0</v>
      </c>
      <c r="O370" s="9">
        <v>0</v>
      </c>
      <c r="P370" s="9">
        <v>0</v>
      </c>
      <c r="Q370" s="9">
        <v>0</v>
      </c>
      <c r="R370" s="13">
        <v>41717</v>
      </c>
      <c r="S370" s="13">
        <v>41717</v>
      </c>
    </row>
    <row r="371" spans="1:19">
      <c r="A371" s="10">
        <v>2014</v>
      </c>
      <c r="B371" s="11" t="s">
        <v>489</v>
      </c>
      <c r="C371" s="11" t="s">
        <v>490</v>
      </c>
      <c r="D371" s="12">
        <v>1002052</v>
      </c>
      <c r="E371" s="12">
        <v>2</v>
      </c>
      <c r="F371" s="12"/>
      <c r="G371" s="12">
        <v>960</v>
      </c>
      <c r="H371" s="12">
        <v>15.1</v>
      </c>
      <c r="I371" s="12"/>
      <c r="J371" s="12" t="s">
        <v>419</v>
      </c>
      <c r="K371" s="12" t="b">
        <v>1</v>
      </c>
      <c r="L371" s="12">
        <v>0</v>
      </c>
      <c r="M371" s="8">
        <v>2014</v>
      </c>
      <c r="N371" s="9">
        <v>0</v>
      </c>
      <c r="O371" s="9">
        <v>0</v>
      </c>
      <c r="P371" s="9">
        <v>0</v>
      </c>
      <c r="Q371" s="9">
        <v>0</v>
      </c>
      <c r="R371" s="13">
        <v>41717</v>
      </c>
      <c r="S371" s="13">
        <v>41717</v>
      </c>
    </row>
    <row r="372" spans="1:19">
      <c r="A372" s="10">
        <v>2014</v>
      </c>
      <c r="B372" s="11" t="s">
        <v>489</v>
      </c>
      <c r="C372" s="11" t="s">
        <v>490</v>
      </c>
      <c r="D372" s="12">
        <v>1002052</v>
      </c>
      <c r="E372" s="12">
        <v>2</v>
      </c>
      <c r="F372" s="12"/>
      <c r="G372" s="12">
        <v>60</v>
      </c>
      <c r="H372" s="12" t="s">
        <v>47</v>
      </c>
      <c r="I372" s="12"/>
      <c r="J372" s="12" t="s">
        <v>48</v>
      </c>
      <c r="K372" s="12" t="b">
        <v>1</v>
      </c>
      <c r="L372" s="12">
        <v>1</v>
      </c>
      <c r="M372" s="8">
        <v>2015</v>
      </c>
      <c r="N372" s="9">
        <v>849319.19</v>
      </c>
      <c r="O372" s="9">
        <v>1608877.11</v>
      </c>
      <c r="P372" s="9">
        <v>1644617.4</v>
      </c>
      <c r="Q372" s="9">
        <v>1467888.16</v>
      </c>
      <c r="R372" s="13">
        <v>41717</v>
      </c>
      <c r="S372" s="13">
        <v>41717</v>
      </c>
    </row>
    <row r="373" spans="1:19">
      <c r="A373" s="10">
        <v>2014</v>
      </c>
      <c r="B373" s="11" t="s">
        <v>489</v>
      </c>
      <c r="C373" s="11" t="s">
        <v>490</v>
      </c>
      <c r="D373" s="12">
        <v>1002052</v>
      </c>
      <c r="E373" s="12">
        <v>2</v>
      </c>
      <c r="F373" s="12"/>
      <c r="G373" s="12">
        <v>980</v>
      </c>
      <c r="H373" s="12">
        <v>15.2</v>
      </c>
      <c r="I373" s="12"/>
      <c r="J373" s="12" t="s">
        <v>423</v>
      </c>
      <c r="K373" s="12" t="b">
        <v>1</v>
      </c>
      <c r="L373" s="12">
        <v>2</v>
      </c>
      <c r="M373" s="8">
        <v>2016</v>
      </c>
      <c r="N373" s="9">
        <v>0</v>
      </c>
      <c r="O373" s="9">
        <v>0</v>
      </c>
      <c r="P373" s="9">
        <v>0</v>
      </c>
      <c r="Q373" s="9">
        <v>0</v>
      </c>
      <c r="R373" s="13">
        <v>41717</v>
      </c>
      <c r="S373" s="13">
        <v>41717</v>
      </c>
    </row>
    <row r="374" spans="1:19">
      <c r="A374" s="10">
        <v>2014</v>
      </c>
      <c r="B374" s="11" t="s">
        <v>489</v>
      </c>
      <c r="C374" s="11" t="s">
        <v>490</v>
      </c>
      <c r="D374" s="12">
        <v>1002052</v>
      </c>
      <c r="E374" s="12">
        <v>2</v>
      </c>
      <c r="F374" s="12"/>
      <c r="G374" s="12">
        <v>540</v>
      </c>
      <c r="H374" s="12" t="s">
        <v>84</v>
      </c>
      <c r="I374" s="12" t="s">
        <v>399</v>
      </c>
      <c r="J374" s="12" t="s">
        <v>400</v>
      </c>
      <c r="K374" s="12" t="b">
        <v>0</v>
      </c>
      <c r="L374" s="12">
        <v>0</v>
      </c>
      <c r="M374" s="8">
        <v>2014</v>
      </c>
      <c r="N374" s="9">
        <v>7.4000000000000003E-3</v>
      </c>
      <c r="O374" s="9">
        <v>5.45E-2</v>
      </c>
      <c r="P374" s="9">
        <v>6.1800000000000001E-2</v>
      </c>
      <c r="Q374" s="9">
        <v>6.0900000000000003E-2</v>
      </c>
      <c r="R374" s="13">
        <v>41717</v>
      </c>
      <c r="S374" s="13">
        <v>41717</v>
      </c>
    </row>
    <row r="375" spans="1:19">
      <c r="A375" s="10">
        <v>2014</v>
      </c>
      <c r="B375" s="11" t="s">
        <v>489</v>
      </c>
      <c r="C375" s="11" t="s">
        <v>490</v>
      </c>
      <c r="D375" s="12">
        <v>1002052</v>
      </c>
      <c r="E375" s="12">
        <v>2</v>
      </c>
      <c r="F375" s="12"/>
      <c r="G375" s="12">
        <v>660</v>
      </c>
      <c r="H375" s="12">
        <v>12</v>
      </c>
      <c r="I375" s="12"/>
      <c r="J375" s="12" t="s">
        <v>97</v>
      </c>
      <c r="K375" s="12" t="b">
        <v>1</v>
      </c>
      <c r="L375" s="12">
        <v>2</v>
      </c>
      <c r="M375" s="8">
        <v>2016</v>
      </c>
      <c r="N375" s="9">
        <v>0</v>
      </c>
      <c r="O375" s="9">
        <v>0</v>
      </c>
      <c r="P375" s="9">
        <v>0</v>
      </c>
      <c r="Q375" s="9">
        <v>0</v>
      </c>
      <c r="R375" s="13">
        <v>41717</v>
      </c>
      <c r="S375" s="13">
        <v>41717</v>
      </c>
    </row>
    <row r="376" spans="1:19">
      <c r="A376" s="10">
        <v>2014</v>
      </c>
      <c r="B376" s="11" t="s">
        <v>489</v>
      </c>
      <c r="C376" s="11" t="s">
        <v>490</v>
      </c>
      <c r="D376" s="12">
        <v>1002052</v>
      </c>
      <c r="E376" s="12">
        <v>2</v>
      </c>
      <c r="F376" s="12"/>
      <c r="G376" s="12">
        <v>600</v>
      </c>
      <c r="H376" s="12">
        <v>11.3</v>
      </c>
      <c r="I376" s="12" t="s">
        <v>401</v>
      </c>
      <c r="J376" s="12" t="s">
        <v>402</v>
      </c>
      <c r="K376" s="12" t="b">
        <v>1</v>
      </c>
      <c r="L376" s="12">
        <v>2</v>
      </c>
      <c r="M376" s="8">
        <v>2016</v>
      </c>
      <c r="N376" s="9">
        <v>1480853.69</v>
      </c>
      <c r="O376" s="9">
        <v>718974.51</v>
      </c>
      <c r="P376" s="9">
        <v>3546636.65</v>
      </c>
      <c r="Q376" s="9">
        <v>3319528.6</v>
      </c>
      <c r="R376" s="13">
        <v>41717</v>
      </c>
      <c r="S376" s="13">
        <v>41717</v>
      </c>
    </row>
    <row r="377" spans="1:19">
      <c r="A377" s="10">
        <v>2014</v>
      </c>
      <c r="B377" s="11" t="s">
        <v>489</v>
      </c>
      <c r="C377" s="11" t="s">
        <v>490</v>
      </c>
      <c r="D377" s="12">
        <v>1002052</v>
      </c>
      <c r="E377" s="12">
        <v>2</v>
      </c>
      <c r="F377" s="12"/>
      <c r="G377" s="12">
        <v>750</v>
      </c>
      <c r="H377" s="12" t="s">
        <v>111</v>
      </c>
      <c r="I377" s="12"/>
      <c r="J377" s="12" t="s">
        <v>112</v>
      </c>
      <c r="K377" s="12" t="b">
        <v>0</v>
      </c>
      <c r="L377" s="12">
        <v>2</v>
      </c>
      <c r="M377" s="8">
        <v>2016</v>
      </c>
      <c r="N377" s="9">
        <v>0</v>
      </c>
      <c r="O377" s="9">
        <v>0</v>
      </c>
      <c r="P377" s="9">
        <v>145119.65</v>
      </c>
      <c r="Q377" s="9">
        <v>138833.24</v>
      </c>
      <c r="R377" s="13">
        <v>41717</v>
      </c>
      <c r="S377" s="13">
        <v>41717</v>
      </c>
    </row>
    <row r="378" spans="1:19">
      <c r="A378" s="10">
        <v>2014</v>
      </c>
      <c r="B378" s="11" t="s">
        <v>489</v>
      </c>
      <c r="C378" s="11" t="s">
        <v>490</v>
      </c>
      <c r="D378" s="12">
        <v>1002052</v>
      </c>
      <c r="E378" s="12">
        <v>2</v>
      </c>
      <c r="F378" s="12"/>
      <c r="G378" s="12">
        <v>610</v>
      </c>
      <c r="H378" s="12" t="s">
        <v>90</v>
      </c>
      <c r="I378" s="12"/>
      <c r="J378" s="12" t="s">
        <v>91</v>
      </c>
      <c r="K378" s="12" t="b">
        <v>1</v>
      </c>
      <c r="L378" s="12">
        <v>2</v>
      </c>
      <c r="M378" s="8">
        <v>2016</v>
      </c>
      <c r="N378" s="9">
        <v>123162.52</v>
      </c>
      <c r="O378" s="9">
        <v>156869.10999999999</v>
      </c>
      <c r="P378" s="9">
        <v>145119.65</v>
      </c>
      <c r="Q378" s="9">
        <v>138833.24</v>
      </c>
      <c r="R378" s="13">
        <v>41717</v>
      </c>
      <c r="S378" s="13">
        <v>41717</v>
      </c>
    </row>
    <row r="379" spans="1:19">
      <c r="A379" s="10">
        <v>2014</v>
      </c>
      <c r="B379" s="11" t="s">
        <v>489</v>
      </c>
      <c r="C379" s="11" t="s">
        <v>490</v>
      </c>
      <c r="D379" s="12">
        <v>1002052</v>
      </c>
      <c r="E379" s="12">
        <v>2</v>
      </c>
      <c r="F379" s="12"/>
      <c r="G379" s="12">
        <v>182</v>
      </c>
      <c r="H379" s="12" t="s">
        <v>368</v>
      </c>
      <c r="I379" s="12"/>
      <c r="J379" s="12" t="s">
        <v>369</v>
      </c>
      <c r="K379" s="12" t="b">
        <v>0</v>
      </c>
      <c r="L379" s="12">
        <v>3</v>
      </c>
      <c r="M379" s="8">
        <v>2017</v>
      </c>
      <c r="N379" s="9">
        <v>0</v>
      </c>
      <c r="O379" s="9">
        <v>0</v>
      </c>
      <c r="P379" s="9">
        <v>0</v>
      </c>
      <c r="Q379" s="9">
        <v>0</v>
      </c>
      <c r="R379" s="13">
        <v>41717</v>
      </c>
      <c r="S379" s="13">
        <v>41717</v>
      </c>
    </row>
    <row r="380" spans="1:19">
      <c r="A380" s="10">
        <v>2014</v>
      </c>
      <c r="B380" s="11" t="s">
        <v>489</v>
      </c>
      <c r="C380" s="11" t="s">
        <v>490</v>
      </c>
      <c r="D380" s="12">
        <v>1002052</v>
      </c>
      <c r="E380" s="12">
        <v>2</v>
      </c>
      <c r="F380" s="12"/>
      <c r="G380" s="12">
        <v>767</v>
      </c>
      <c r="H380" s="12">
        <v>12.7</v>
      </c>
      <c r="I380" s="12"/>
      <c r="J380" s="12" t="s">
        <v>411</v>
      </c>
      <c r="K380" s="12" t="b">
        <v>1</v>
      </c>
      <c r="L380" s="12">
        <v>2</v>
      </c>
      <c r="M380" s="8">
        <v>2016</v>
      </c>
      <c r="N380" s="9">
        <v>0</v>
      </c>
      <c r="O380" s="9">
        <v>0</v>
      </c>
      <c r="P380" s="9">
        <v>0</v>
      </c>
      <c r="Q380" s="9">
        <v>0</v>
      </c>
      <c r="R380" s="13">
        <v>41717</v>
      </c>
      <c r="S380" s="13">
        <v>41717</v>
      </c>
    </row>
    <row r="381" spans="1:19">
      <c r="A381" s="10">
        <v>2014</v>
      </c>
      <c r="B381" s="11" t="s">
        <v>489</v>
      </c>
      <c r="C381" s="11" t="s">
        <v>490</v>
      </c>
      <c r="D381" s="12">
        <v>1002052</v>
      </c>
      <c r="E381" s="12">
        <v>2</v>
      </c>
      <c r="F381" s="12"/>
      <c r="G381" s="12">
        <v>550</v>
      </c>
      <c r="H381" s="12">
        <v>10</v>
      </c>
      <c r="I381" s="12"/>
      <c r="J381" s="12" t="s">
        <v>85</v>
      </c>
      <c r="K381" s="12" t="b">
        <v>0</v>
      </c>
      <c r="L381" s="12">
        <v>3</v>
      </c>
      <c r="M381" s="8">
        <v>2017</v>
      </c>
      <c r="N381" s="9">
        <v>0</v>
      </c>
      <c r="O381" s="9">
        <v>0</v>
      </c>
      <c r="P381" s="9">
        <v>0</v>
      </c>
      <c r="Q381" s="9">
        <v>0</v>
      </c>
      <c r="R381" s="13">
        <v>41717</v>
      </c>
      <c r="S381" s="13">
        <v>41717</v>
      </c>
    </row>
    <row r="382" spans="1:19">
      <c r="A382" s="10">
        <v>2014</v>
      </c>
      <c r="B382" s="11" t="s">
        <v>489</v>
      </c>
      <c r="C382" s="11" t="s">
        <v>490</v>
      </c>
      <c r="D382" s="12">
        <v>1002052</v>
      </c>
      <c r="E382" s="12">
        <v>2</v>
      </c>
      <c r="F382" s="12"/>
      <c r="G382" s="12">
        <v>740</v>
      </c>
      <c r="H382" s="12" t="s">
        <v>109</v>
      </c>
      <c r="I382" s="12"/>
      <c r="J382" s="12" t="s">
        <v>110</v>
      </c>
      <c r="K382" s="12" t="b">
        <v>0</v>
      </c>
      <c r="L382" s="12">
        <v>1</v>
      </c>
      <c r="M382" s="8">
        <v>2015</v>
      </c>
      <c r="N382" s="9">
        <v>104205.63</v>
      </c>
      <c r="O382" s="9">
        <v>133542.57999999999</v>
      </c>
      <c r="P382" s="9">
        <v>123351.7</v>
      </c>
      <c r="Q382" s="9">
        <v>120259.63</v>
      </c>
      <c r="R382" s="13">
        <v>41717</v>
      </c>
      <c r="S382" s="13">
        <v>41717</v>
      </c>
    </row>
    <row r="383" spans="1:19">
      <c r="A383" s="10">
        <v>2014</v>
      </c>
      <c r="B383" s="11" t="s">
        <v>489</v>
      </c>
      <c r="C383" s="11" t="s">
        <v>490</v>
      </c>
      <c r="D383" s="12">
        <v>1002052</v>
      </c>
      <c r="E383" s="12">
        <v>2</v>
      </c>
      <c r="F383" s="12"/>
      <c r="G383" s="12">
        <v>960</v>
      </c>
      <c r="H383" s="12">
        <v>15.1</v>
      </c>
      <c r="I383" s="12"/>
      <c r="J383" s="12" t="s">
        <v>419</v>
      </c>
      <c r="K383" s="12" t="b">
        <v>1</v>
      </c>
      <c r="L383" s="12">
        <v>3</v>
      </c>
      <c r="M383" s="8">
        <v>2017</v>
      </c>
      <c r="N383" s="9">
        <v>0</v>
      </c>
      <c r="O383" s="9">
        <v>0</v>
      </c>
      <c r="P383" s="9">
        <v>0</v>
      </c>
      <c r="Q383" s="9">
        <v>0</v>
      </c>
      <c r="R383" s="13">
        <v>41717</v>
      </c>
      <c r="S383" s="13">
        <v>41717</v>
      </c>
    </row>
    <row r="384" spans="1:19">
      <c r="A384" s="10">
        <v>2014</v>
      </c>
      <c r="B384" s="11" t="s">
        <v>489</v>
      </c>
      <c r="C384" s="11" t="s">
        <v>490</v>
      </c>
      <c r="D384" s="12">
        <v>1002052</v>
      </c>
      <c r="E384" s="12">
        <v>2</v>
      </c>
      <c r="F384" s="12"/>
      <c r="G384" s="12">
        <v>830</v>
      </c>
      <c r="H384" s="12">
        <v>13.4</v>
      </c>
      <c r="I384" s="12"/>
      <c r="J384" s="12" t="s">
        <v>122</v>
      </c>
      <c r="K384" s="12" t="b">
        <v>1</v>
      </c>
      <c r="L384" s="12">
        <v>3</v>
      </c>
      <c r="M384" s="8">
        <v>2017</v>
      </c>
      <c r="N384" s="9">
        <v>0</v>
      </c>
      <c r="O384" s="9">
        <v>0</v>
      </c>
      <c r="P384" s="9">
        <v>0</v>
      </c>
      <c r="Q384" s="9">
        <v>0</v>
      </c>
      <c r="R384" s="13">
        <v>41717</v>
      </c>
      <c r="S384" s="13">
        <v>41717</v>
      </c>
    </row>
    <row r="385" spans="1:19">
      <c r="A385" s="10">
        <v>2014</v>
      </c>
      <c r="B385" s="11" t="s">
        <v>489</v>
      </c>
      <c r="C385" s="11" t="s">
        <v>490</v>
      </c>
      <c r="D385" s="12">
        <v>1002052</v>
      </c>
      <c r="E385" s="12">
        <v>2</v>
      </c>
      <c r="F385" s="12"/>
      <c r="G385" s="12">
        <v>290</v>
      </c>
      <c r="H385" s="12" t="s">
        <v>75</v>
      </c>
      <c r="I385" s="12"/>
      <c r="J385" s="12" t="s">
        <v>71</v>
      </c>
      <c r="K385" s="12" t="b">
        <v>0</v>
      </c>
      <c r="L385" s="12">
        <v>0</v>
      </c>
      <c r="M385" s="8">
        <v>2014</v>
      </c>
      <c r="N385" s="9">
        <v>0</v>
      </c>
      <c r="O385" s="9">
        <v>0</v>
      </c>
      <c r="P385" s="9">
        <v>0</v>
      </c>
      <c r="Q385" s="9">
        <v>0</v>
      </c>
      <c r="R385" s="13">
        <v>41717</v>
      </c>
      <c r="S385" s="13">
        <v>41717</v>
      </c>
    </row>
    <row r="386" spans="1:19">
      <c r="A386" s="10">
        <v>2014</v>
      </c>
      <c r="B386" s="11" t="s">
        <v>489</v>
      </c>
      <c r="C386" s="11" t="s">
        <v>490</v>
      </c>
      <c r="D386" s="12">
        <v>1002052</v>
      </c>
      <c r="E386" s="12">
        <v>2</v>
      </c>
      <c r="F386" s="12"/>
      <c r="G386" s="12">
        <v>200</v>
      </c>
      <c r="H386" s="12">
        <v>3</v>
      </c>
      <c r="I386" s="12" t="s">
        <v>372</v>
      </c>
      <c r="J386" s="12" t="s">
        <v>21</v>
      </c>
      <c r="K386" s="12" t="b">
        <v>0</v>
      </c>
      <c r="L386" s="12">
        <v>3</v>
      </c>
      <c r="M386" s="8">
        <v>2017</v>
      </c>
      <c r="N386" s="9">
        <v>-1100222.42</v>
      </c>
      <c r="O386" s="9">
        <v>2580481.7200000002</v>
      </c>
      <c r="P386" s="9">
        <v>-1113306.28</v>
      </c>
      <c r="Q386" s="9">
        <v>-1069250.1399999999</v>
      </c>
      <c r="R386" s="13">
        <v>41717</v>
      </c>
      <c r="S386" s="13">
        <v>41717</v>
      </c>
    </row>
    <row r="387" spans="1:19">
      <c r="A387" s="10">
        <v>2014</v>
      </c>
      <c r="B387" s="11" t="s">
        <v>489</v>
      </c>
      <c r="C387" s="11" t="s">
        <v>490</v>
      </c>
      <c r="D387" s="12">
        <v>1002052</v>
      </c>
      <c r="E387" s="12">
        <v>2</v>
      </c>
      <c r="F387" s="12"/>
      <c r="G387" s="12">
        <v>650</v>
      </c>
      <c r="H387" s="12">
        <v>11.6</v>
      </c>
      <c r="I387" s="12"/>
      <c r="J387" s="12" t="s">
        <v>96</v>
      </c>
      <c r="K387" s="12" t="b">
        <v>1</v>
      </c>
      <c r="L387" s="12">
        <v>2</v>
      </c>
      <c r="M387" s="8">
        <v>2016</v>
      </c>
      <c r="N387" s="9">
        <v>0</v>
      </c>
      <c r="O387" s="9">
        <v>0</v>
      </c>
      <c r="P387" s="9">
        <v>39000</v>
      </c>
      <c r="Q387" s="9">
        <v>27700</v>
      </c>
      <c r="R387" s="13">
        <v>41717</v>
      </c>
      <c r="S387" s="13">
        <v>41717</v>
      </c>
    </row>
    <row r="388" spans="1:19">
      <c r="A388" s="10">
        <v>2014</v>
      </c>
      <c r="B388" s="11" t="s">
        <v>489</v>
      </c>
      <c r="C388" s="11" t="s">
        <v>490</v>
      </c>
      <c r="D388" s="12">
        <v>1002052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395</v>
      </c>
      <c r="K388" s="12" t="b">
        <v>1</v>
      </c>
      <c r="L388" s="12">
        <v>0</v>
      </c>
      <c r="M388" s="8">
        <v>2014</v>
      </c>
      <c r="N388" s="9">
        <v>0</v>
      </c>
      <c r="O388" s="9">
        <v>0</v>
      </c>
      <c r="P388" s="9">
        <v>0</v>
      </c>
      <c r="Q388" s="9">
        <v>0</v>
      </c>
      <c r="R388" s="13">
        <v>41717</v>
      </c>
      <c r="S388" s="13">
        <v>41717</v>
      </c>
    </row>
    <row r="389" spans="1:19">
      <c r="A389" s="10">
        <v>2014</v>
      </c>
      <c r="B389" s="11" t="s">
        <v>489</v>
      </c>
      <c r="C389" s="11" t="s">
        <v>490</v>
      </c>
      <c r="D389" s="12">
        <v>1002052</v>
      </c>
      <c r="E389" s="12">
        <v>2</v>
      </c>
      <c r="F389" s="12"/>
      <c r="G389" s="12">
        <v>420</v>
      </c>
      <c r="H389" s="12">
        <v>8.1</v>
      </c>
      <c r="I389" s="12" t="s">
        <v>382</v>
      </c>
      <c r="J389" s="12" t="s">
        <v>82</v>
      </c>
      <c r="K389" s="12" t="b">
        <v>0</v>
      </c>
      <c r="L389" s="12">
        <v>2</v>
      </c>
      <c r="M389" s="8">
        <v>2016</v>
      </c>
      <c r="N389" s="9">
        <v>975297.61</v>
      </c>
      <c r="O389" s="9">
        <v>3604694.11</v>
      </c>
      <c r="P389" s="9">
        <v>2504739.7200000002</v>
      </c>
      <c r="Q389" s="9">
        <v>2583957.89</v>
      </c>
      <c r="R389" s="13">
        <v>41717</v>
      </c>
      <c r="S389" s="13">
        <v>41717</v>
      </c>
    </row>
    <row r="390" spans="1:19">
      <c r="A390" s="10">
        <v>2014</v>
      </c>
      <c r="B390" s="11" t="s">
        <v>489</v>
      </c>
      <c r="C390" s="11" t="s">
        <v>490</v>
      </c>
      <c r="D390" s="12">
        <v>1002052</v>
      </c>
      <c r="E390" s="12">
        <v>2</v>
      </c>
      <c r="F390" s="12"/>
      <c r="G390" s="12">
        <v>40</v>
      </c>
      <c r="H390" s="12" t="s">
        <v>43</v>
      </c>
      <c r="I390" s="12"/>
      <c r="J390" s="12" t="s">
        <v>44</v>
      </c>
      <c r="K390" s="12" t="b">
        <v>1</v>
      </c>
      <c r="L390" s="12">
        <v>1</v>
      </c>
      <c r="M390" s="8">
        <v>2015</v>
      </c>
      <c r="N390" s="9">
        <v>7359.96</v>
      </c>
      <c r="O390" s="9">
        <v>873.76</v>
      </c>
      <c r="P390" s="9">
        <v>1000</v>
      </c>
      <c r="Q390" s="9">
        <v>654.23</v>
      </c>
      <c r="R390" s="13">
        <v>41717</v>
      </c>
      <c r="S390" s="13">
        <v>41717</v>
      </c>
    </row>
    <row r="391" spans="1:19">
      <c r="A391" s="10">
        <v>2014</v>
      </c>
      <c r="B391" s="11" t="s">
        <v>489</v>
      </c>
      <c r="C391" s="11" t="s">
        <v>490</v>
      </c>
      <c r="D391" s="12">
        <v>1002052</v>
      </c>
      <c r="E391" s="12">
        <v>2</v>
      </c>
      <c r="F391" s="12"/>
      <c r="G391" s="12">
        <v>761</v>
      </c>
      <c r="H391" s="12" t="s">
        <v>114</v>
      </c>
      <c r="I391" s="12"/>
      <c r="J391" s="12" t="s">
        <v>115</v>
      </c>
      <c r="K391" s="12" t="b">
        <v>1</v>
      </c>
      <c r="L391" s="12">
        <v>0</v>
      </c>
      <c r="M391" s="8">
        <v>2014</v>
      </c>
      <c r="N391" s="9">
        <v>650923.96</v>
      </c>
      <c r="O391" s="9">
        <v>220814.52</v>
      </c>
      <c r="P391" s="9">
        <v>3401517</v>
      </c>
      <c r="Q391" s="9">
        <v>3180695.36</v>
      </c>
      <c r="R391" s="13">
        <v>41717</v>
      </c>
      <c r="S391" s="13">
        <v>41717</v>
      </c>
    </row>
    <row r="392" spans="1:19">
      <c r="A392" s="10">
        <v>2014</v>
      </c>
      <c r="B392" s="11" t="s">
        <v>489</v>
      </c>
      <c r="C392" s="11" t="s">
        <v>490</v>
      </c>
      <c r="D392" s="12">
        <v>1002052</v>
      </c>
      <c r="E392" s="12">
        <v>2</v>
      </c>
      <c r="F392" s="12"/>
      <c r="G392" s="12">
        <v>150</v>
      </c>
      <c r="H392" s="12" t="s">
        <v>61</v>
      </c>
      <c r="I392" s="12"/>
      <c r="J392" s="12" t="s">
        <v>364</v>
      </c>
      <c r="K392" s="12" t="b">
        <v>1</v>
      </c>
      <c r="L392" s="12">
        <v>2</v>
      </c>
      <c r="M392" s="8">
        <v>2016</v>
      </c>
      <c r="N392" s="9">
        <v>0</v>
      </c>
      <c r="O392" s="9">
        <v>0</v>
      </c>
      <c r="P392" s="9">
        <v>0</v>
      </c>
      <c r="Q392" s="9">
        <v>0</v>
      </c>
      <c r="R392" s="13">
        <v>41717</v>
      </c>
      <c r="S392" s="13">
        <v>41717</v>
      </c>
    </row>
    <row r="393" spans="1:19">
      <c r="A393" s="10">
        <v>2014</v>
      </c>
      <c r="B393" s="11" t="s">
        <v>489</v>
      </c>
      <c r="C393" s="11" t="s">
        <v>490</v>
      </c>
      <c r="D393" s="12">
        <v>1002052</v>
      </c>
      <c r="E393" s="12">
        <v>2</v>
      </c>
      <c r="F393" s="12"/>
      <c r="G393" s="12">
        <v>540</v>
      </c>
      <c r="H393" s="12" t="s">
        <v>84</v>
      </c>
      <c r="I393" s="12" t="s">
        <v>399</v>
      </c>
      <c r="J393" s="12" t="s">
        <v>400</v>
      </c>
      <c r="K393" s="12" t="b">
        <v>0</v>
      </c>
      <c r="L393" s="12">
        <v>1</v>
      </c>
      <c r="M393" s="8">
        <v>2015</v>
      </c>
      <c r="N393" s="9">
        <v>7.4000000000000003E-3</v>
      </c>
      <c r="O393" s="9">
        <v>5.45E-2</v>
      </c>
      <c r="P393" s="9">
        <v>6.1800000000000001E-2</v>
      </c>
      <c r="Q393" s="9">
        <v>6.0900000000000003E-2</v>
      </c>
      <c r="R393" s="13">
        <v>41717</v>
      </c>
      <c r="S393" s="13">
        <v>41717</v>
      </c>
    </row>
    <row r="394" spans="1:19">
      <c r="A394" s="10">
        <v>2014</v>
      </c>
      <c r="B394" s="11" t="s">
        <v>489</v>
      </c>
      <c r="C394" s="11" t="s">
        <v>490</v>
      </c>
      <c r="D394" s="12">
        <v>1002052</v>
      </c>
      <c r="E394" s="12">
        <v>2</v>
      </c>
      <c r="F394" s="12"/>
      <c r="G394" s="12">
        <v>20</v>
      </c>
      <c r="H394" s="12">
        <v>1.1000000000000001</v>
      </c>
      <c r="I394" s="12"/>
      <c r="J394" s="12" t="s">
        <v>40</v>
      </c>
      <c r="K394" s="12" t="b">
        <v>1</v>
      </c>
      <c r="L394" s="12">
        <v>1</v>
      </c>
      <c r="M394" s="8">
        <v>2015</v>
      </c>
      <c r="N394" s="9">
        <v>10187163.27</v>
      </c>
      <c r="O394" s="9">
        <v>12660364.539999999</v>
      </c>
      <c r="P394" s="9">
        <v>12464064.42</v>
      </c>
      <c r="Q394" s="9">
        <v>11968299.93</v>
      </c>
      <c r="R394" s="13">
        <v>41717</v>
      </c>
      <c r="S394" s="13">
        <v>41717</v>
      </c>
    </row>
    <row r="395" spans="1:19">
      <c r="A395" s="10">
        <v>2014</v>
      </c>
      <c r="B395" s="11" t="s">
        <v>489</v>
      </c>
      <c r="C395" s="11" t="s">
        <v>490</v>
      </c>
      <c r="D395" s="12">
        <v>1002052</v>
      </c>
      <c r="E395" s="12">
        <v>2</v>
      </c>
      <c r="F395" s="12"/>
      <c r="G395" s="12">
        <v>710</v>
      </c>
      <c r="H395" s="12" t="s">
        <v>104</v>
      </c>
      <c r="I395" s="12"/>
      <c r="J395" s="12" t="s">
        <v>105</v>
      </c>
      <c r="K395" s="12" t="b">
        <v>0</v>
      </c>
      <c r="L395" s="12">
        <v>1</v>
      </c>
      <c r="M395" s="8">
        <v>2015</v>
      </c>
      <c r="N395" s="9">
        <v>1041937.3</v>
      </c>
      <c r="O395" s="9">
        <v>826032</v>
      </c>
      <c r="P395" s="9">
        <v>232602</v>
      </c>
      <c r="Q395" s="9">
        <v>232601.81</v>
      </c>
      <c r="R395" s="13">
        <v>41717</v>
      </c>
      <c r="S395" s="13">
        <v>41717</v>
      </c>
    </row>
    <row r="396" spans="1:19">
      <c r="A396" s="10">
        <v>2014</v>
      </c>
      <c r="B396" s="11" t="s">
        <v>489</v>
      </c>
      <c r="C396" s="11" t="s">
        <v>490</v>
      </c>
      <c r="D396" s="12">
        <v>1002052</v>
      </c>
      <c r="E396" s="12">
        <v>2</v>
      </c>
      <c r="F396" s="12"/>
      <c r="G396" s="12">
        <v>480</v>
      </c>
      <c r="H396" s="12">
        <v>9.1999999999999993</v>
      </c>
      <c r="I396" s="12" t="s">
        <v>387</v>
      </c>
      <c r="J396" s="12" t="s">
        <v>388</v>
      </c>
      <c r="K396" s="12" t="b">
        <v>0</v>
      </c>
      <c r="L396" s="12">
        <v>0</v>
      </c>
      <c r="M396" s="8">
        <v>2014</v>
      </c>
      <c r="N396" s="9">
        <v>7.4000000000000003E-3</v>
      </c>
      <c r="O396" s="9">
        <v>5.45E-2</v>
      </c>
      <c r="P396" s="9">
        <v>6.1800000000000001E-2</v>
      </c>
      <c r="Q396" s="9">
        <v>6.0900000000000003E-2</v>
      </c>
      <c r="R396" s="13">
        <v>41717</v>
      </c>
      <c r="S396" s="13">
        <v>41717</v>
      </c>
    </row>
    <row r="397" spans="1:19">
      <c r="A397" s="10">
        <v>2014</v>
      </c>
      <c r="B397" s="11" t="s">
        <v>489</v>
      </c>
      <c r="C397" s="11" t="s">
        <v>490</v>
      </c>
      <c r="D397" s="12">
        <v>1002052</v>
      </c>
      <c r="E397" s="12">
        <v>2</v>
      </c>
      <c r="F397" s="12"/>
      <c r="G397" s="12">
        <v>700</v>
      </c>
      <c r="H397" s="12">
        <v>12.2</v>
      </c>
      <c r="I397" s="12"/>
      <c r="J397" s="12" t="s">
        <v>103</v>
      </c>
      <c r="K397" s="12" t="b">
        <v>0</v>
      </c>
      <c r="L397" s="12">
        <v>3</v>
      </c>
      <c r="M397" s="8">
        <v>2017</v>
      </c>
      <c r="N397" s="9">
        <v>1041937.3</v>
      </c>
      <c r="O397" s="9">
        <v>1013324.7</v>
      </c>
      <c r="P397" s="9">
        <v>421154</v>
      </c>
      <c r="Q397" s="9">
        <v>478204.67</v>
      </c>
      <c r="R397" s="13">
        <v>41717</v>
      </c>
      <c r="S397" s="13">
        <v>41717</v>
      </c>
    </row>
    <row r="398" spans="1:19">
      <c r="A398" s="10">
        <v>2014</v>
      </c>
      <c r="B398" s="11" t="s">
        <v>489</v>
      </c>
      <c r="C398" s="11" t="s">
        <v>490</v>
      </c>
      <c r="D398" s="12">
        <v>1002052</v>
      </c>
      <c r="E398" s="12">
        <v>2</v>
      </c>
      <c r="F398" s="12"/>
      <c r="G398" s="12">
        <v>20</v>
      </c>
      <c r="H398" s="12">
        <v>1.1000000000000001</v>
      </c>
      <c r="I398" s="12"/>
      <c r="J398" s="12" t="s">
        <v>40</v>
      </c>
      <c r="K398" s="12" t="b">
        <v>1</v>
      </c>
      <c r="L398" s="12">
        <v>2</v>
      </c>
      <c r="M398" s="8">
        <v>2016</v>
      </c>
      <c r="N398" s="9">
        <v>10187163.27</v>
      </c>
      <c r="O398" s="9">
        <v>12660364.539999999</v>
      </c>
      <c r="P398" s="9">
        <v>12464064.42</v>
      </c>
      <c r="Q398" s="9">
        <v>11968299.93</v>
      </c>
      <c r="R398" s="13">
        <v>41717</v>
      </c>
      <c r="S398" s="13">
        <v>41717</v>
      </c>
    </row>
    <row r="399" spans="1:19">
      <c r="A399" s="10">
        <v>2014</v>
      </c>
      <c r="B399" s="11" t="s">
        <v>489</v>
      </c>
      <c r="C399" s="11" t="s">
        <v>490</v>
      </c>
      <c r="D399" s="12">
        <v>1002052</v>
      </c>
      <c r="E399" s="12">
        <v>2</v>
      </c>
      <c r="F399" s="12"/>
      <c r="G399" s="12">
        <v>210</v>
      </c>
      <c r="H399" s="12">
        <v>4</v>
      </c>
      <c r="I399" s="12" t="s">
        <v>373</v>
      </c>
      <c r="J399" s="12" t="s">
        <v>22</v>
      </c>
      <c r="K399" s="12" t="b">
        <v>0</v>
      </c>
      <c r="L399" s="12">
        <v>3</v>
      </c>
      <c r="M399" s="8">
        <v>2017</v>
      </c>
      <c r="N399" s="9">
        <v>2625223.85</v>
      </c>
      <c r="O399" s="9">
        <v>1050519.3700000001</v>
      </c>
      <c r="P399" s="9">
        <v>1850827.74</v>
      </c>
      <c r="Q399" s="9">
        <v>2496104.7400000002</v>
      </c>
      <c r="R399" s="13">
        <v>41717</v>
      </c>
      <c r="S399" s="13">
        <v>41717</v>
      </c>
    </row>
    <row r="400" spans="1:19">
      <c r="A400" s="10">
        <v>2014</v>
      </c>
      <c r="B400" s="11" t="s">
        <v>489</v>
      </c>
      <c r="C400" s="11" t="s">
        <v>490</v>
      </c>
      <c r="D400" s="12">
        <v>1002052</v>
      </c>
      <c r="E400" s="12">
        <v>2</v>
      </c>
      <c r="F400" s="12"/>
      <c r="G400" s="12">
        <v>810</v>
      </c>
      <c r="H400" s="12">
        <v>13.2</v>
      </c>
      <c r="I400" s="12"/>
      <c r="J400" s="12" t="s">
        <v>120</v>
      </c>
      <c r="K400" s="12" t="b">
        <v>1</v>
      </c>
      <c r="L400" s="12">
        <v>1</v>
      </c>
      <c r="M400" s="8">
        <v>2015</v>
      </c>
      <c r="N400" s="9">
        <v>0</v>
      </c>
      <c r="O400" s="9">
        <v>0</v>
      </c>
      <c r="P400" s="9">
        <v>0</v>
      </c>
      <c r="Q400" s="9">
        <v>0</v>
      </c>
      <c r="R400" s="13">
        <v>41717</v>
      </c>
      <c r="S400" s="13">
        <v>41717</v>
      </c>
    </row>
    <row r="401" spans="1:19">
      <c r="A401" s="10">
        <v>2014</v>
      </c>
      <c r="B401" s="11" t="s">
        <v>489</v>
      </c>
      <c r="C401" s="11" t="s">
        <v>490</v>
      </c>
      <c r="D401" s="12">
        <v>1002052</v>
      </c>
      <c r="E401" s="12">
        <v>2</v>
      </c>
      <c r="F401" s="12"/>
      <c r="G401" s="12">
        <v>769</v>
      </c>
      <c r="H401" s="12">
        <v>12.8</v>
      </c>
      <c r="I401" s="12"/>
      <c r="J401" s="12" t="s">
        <v>414</v>
      </c>
      <c r="K401" s="12" t="b">
        <v>1</v>
      </c>
      <c r="L401" s="12">
        <v>1</v>
      </c>
      <c r="M401" s="8">
        <v>2015</v>
      </c>
      <c r="N401" s="9">
        <v>0</v>
      </c>
      <c r="O401" s="9">
        <v>0</v>
      </c>
      <c r="P401" s="9">
        <v>0</v>
      </c>
      <c r="Q401" s="9">
        <v>0</v>
      </c>
      <c r="R401" s="13">
        <v>41717</v>
      </c>
      <c r="S401" s="13">
        <v>41717</v>
      </c>
    </row>
    <row r="402" spans="1:19">
      <c r="A402" s="10">
        <v>2014</v>
      </c>
      <c r="B402" s="11" t="s">
        <v>489</v>
      </c>
      <c r="C402" s="11" t="s">
        <v>490</v>
      </c>
      <c r="D402" s="12">
        <v>1002052</v>
      </c>
      <c r="E402" s="12">
        <v>2</v>
      </c>
      <c r="F402" s="12"/>
      <c r="G402" s="12">
        <v>280</v>
      </c>
      <c r="H402" s="12">
        <v>4.4000000000000004</v>
      </c>
      <c r="I402" s="12"/>
      <c r="J402" s="12" t="s">
        <v>74</v>
      </c>
      <c r="K402" s="12" t="b">
        <v>0</v>
      </c>
      <c r="L402" s="12">
        <v>3</v>
      </c>
      <c r="M402" s="8">
        <v>2017</v>
      </c>
      <c r="N402" s="9">
        <v>21393.72</v>
      </c>
      <c r="O402" s="9">
        <v>0</v>
      </c>
      <c r="P402" s="9">
        <v>24682</v>
      </c>
      <c r="Q402" s="9">
        <v>24682</v>
      </c>
      <c r="R402" s="13">
        <v>41717</v>
      </c>
      <c r="S402" s="13">
        <v>41717</v>
      </c>
    </row>
    <row r="403" spans="1:19">
      <c r="A403" s="10">
        <v>2014</v>
      </c>
      <c r="B403" s="11" t="s">
        <v>489</v>
      </c>
      <c r="C403" s="11" t="s">
        <v>490</v>
      </c>
      <c r="D403" s="12">
        <v>1002052</v>
      </c>
      <c r="E403" s="12">
        <v>2</v>
      </c>
      <c r="F403" s="12"/>
      <c r="G403" s="12">
        <v>250</v>
      </c>
      <c r="H403" s="12" t="s">
        <v>70</v>
      </c>
      <c r="I403" s="12"/>
      <c r="J403" s="12" t="s">
        <v>71</v>
      </c>
      <c r="K403" s="12" t="b">
        <v>0</v>
      </c>
      <c r="L403" s="12">
        <v>0</v>
      </c>
      <c r="M403" s="8">
        <v>2014</v>
      </c>
      <c r="N403" s="9">
        <v>0</v>
      </c>
      <c r="O403" s="9">
        <v>0</v>
      </c>
      <c r="P403" s="9">
        <v>1024306.28</v>
      </c>
      <c r="Q403" s="9">
        <v>733144.51</v>
      </c>
      <c r="R403" s="13">
        <v>41717</v>
      </c>
      <c r="S403" s="13">
        <v>41717</v>
      </c>
    </row>
    <row r="404" spans="1:19">
      <c r="A404" s="10">
        <v>2014</v>
      </c>
      <c r="B404" s="11" t="s">
        <v>489</v>
      </c>
      <c r="C404" s="11" t="s">
        <v>490</v>
      </c>
      <c r="D404" s="12">
        <v>1002052</v>
      </c>
      <c r="E404" s="12">
        <v>2</v>
      </c>
      <c r="F404" s="12"/>
      <c r="G404" s="12">
        <v>520</v>
      </c>
      <c r="H404" s="12" t="s">
        <v>83</v>
      </c>
      <c r="I404" s="12"/>
      <c r="J404" s="12" t="s">
        <v>396</v>
      </c>
      <c r="K404" s="12" t="b">
        <v>1</v>
      </c>
      <c r="L404" s="12">
        <v>1</v>
      </c>
      <c r="M404" s="8">
        <v>2015</v>
      </c>
      <c r="N404" s="9">
        <v>0</v>
      </c>
      <c r="O404" s="9">
        <v>0</v>
      </c>
      <c r="P404" s="9">
        <v>0</v>
      </c>
      <c r="Q404" s="9">
        <v>0</v>
      </c>
      <c r="R404" s="13">
        <v>41717</v>
      </c>
      <c r="S404" s="13">
        <v>41717</v>
      </c>
    </row>
    <row r="405" spans="1:19">
      <c r="A405" s="10">
        <v>2014</v>
      </c>
      <c r="B405" s="11" t="s">
        <v>489</v>
      </c>
      <c r="C405" s="11" t="s">
        <v>490</v>
      </c>
      <c r="D405" s="12">
        <v>1002052</v>
      </c>
      <c r="E405" s="12">
        <v>2</v>
      </c>
      <c r="F405" s="12"/>
      <c r="G405" s="12">
        <v>334</v>
      </c>
      <c r="H405" s="12" t="s">
        <v>378</v>
      </c>
      <c r="I405" s="12"/>
      <c r="J405" s="12" t="s">
        <v>379</v>
      </c>
      <c r="K405" s="12" t="b">
        <v>1</v>
      </c>
      <c r="L405" s="12">
        <v>2</v>
      </c>
      <c r="M405" s="8">
        <v>2016</v>
      </c>
      <c r="N405" s="9">
        <v>0</v>
      </c>
      <c r="O405" s="9">
        <v>0</v>
      </c>
      <c r="P405" s="9">
        <v>0</v>
      </c>
      <c r="Q405" s="9">
        <v>0</v>
      </c>
      <c r="R405" s="13">
        <v>41717</v>
      </c>
      <c r="S405" s="13">
        <v>41717</v>
      </c>
    </row>
    <row r="406" spans="1:19">
      <c r="A406" s="10">
        <v>2014</v>
      </c>
      <c r="B406" s="11" t="s">
        <v>489</v>
      </c>
      <c r="C406" s="11" t="s">
        <v>490</v>
      </c>
      <c r="D406" s="12">
        <v>1002052</v>
      </c>
      <c r="E406" s="12">
        <v>2</v>
      </c>
      <c r="F406" s="12"/>
      <c r="G406" s="12">
        <v>430</v>
      </c>
      <c r="H406" s="12">
        <v>8.1999999999999993</v>
      </c>
      <c r="I406" s="12" t="s">
        <v>383</v>
      </c>
      <c r="J406" s="12" t="s">
        <v>384</v>
      </c>
      <c r="K406" s="12" t="b">
        <v>0</v>
      </c>
      <c r="L406" s="12">
        <v>3</v>
      </c>
      <c r="M406" s="8">
        <v>2017</v>
      </c>
      <c r="N406" s="9">
        <v>1161314</v>
      </c>
      <c r="O406" s="9">
        <v>4507213.4800000004</v>
      </c>
      <c r="P406" s="9">
        <v>4241885.46</v>
      </c>
      <c r="Q406" s="9">
        <v>4966380.63</v>
      </c>
      <c r="R406" s="13">
        <v>41717</v>
      </c>
      <c r="S406" s="13">
        <v>41717</v>
      </c>
    </row>
    <row r="407" spans="1:19">
      <c r="A407" s="10">
        <v>2014</v>
      </c>
      <c r="B407" s="11" t="s">
        <v>489</v>
      </c>
      <c r="C407" s="11" t="s">
        <v>490</v>
      </c>
      <c r="D407" s="12">
        <v>1002052</v>
      </c>
      <c r="E407" s="12">
        <v>2</v>
      </c>
      <c r="F407" s="12"/>
      <c r="G407" s="12">
        <v>180</v>
      </c>
      <c r="H407" s="12" t="s">
        <v>64</v>
      </c>
      <c r="I407" s="12"/>
      <c r="J407" s="12" t="s">
        <v>367</v>
      </c>
      <c r="K407" s="12" t="b">
        <v>0</v>
      </c>
      <c r="L407" s="12">
        <v>1</v>
      </c>
      <c r="M407" s="8">
        <v>2015</v>
      </c>
      <c r="N407" s="9">
        <v>38272.47</v>
      </c>
      <c r="O407" s="9">
        <v>83194.59</v>
      </c>
      <c r="P407" s="9">
        <v>95000</v>
      </c>
      <c r="Q407" s="9">
        <v>36075.83</v>
      </c>
      <c r="R407" s="13">
        <v>41717</v>
      </c>
      <c r="S407" s="13">
        <v>41717</v>
      </c>
    </row>
    <row r="408" spans="1:19">
      <c r="A408" s="10">
        <v>2014</v>
      </c>
      <c r="B408" s="11" t="s">
        <v>489</v>
      </c>
      <c r="C408" s="11" t="s">
        <v>490</v>
      </c>
      <c r="D408" s="12">
        <v>1002052</v>
      </c>
      <c r="E408" s="12">
        <v>2</v>
      </c>
      <c r="F408" s="12"/>
      <c r="G408" s="12">
        <v>310</v>
      </c>
      <c r="H408" s="12">
        <v>5.0999999999999996</v>
      </c>
      <c r="I408" s="12"/>
      <c r="J408" s="12" t="s">
        <v>77</v>
      </c>
      <c r="K408" s="12" t="b">
        <v>1</v>
      </c>
      <c r="L408" s="12">
        <v>3</v>
      </c>
      <c r="M408" s="8">
        <v>2017</v>
      </c>
      <c r="N408" s="9">
        <v>601088.34</v>
      </c>
      <c r="O408" s="9">
        <v>1278520.75</v>
      </c>
      <c r="P408" s="9">
        <v>737521.46</v>
      </c>
      <c r="Q408" s="9">
        <v>737521.46</v>
      </c>
      <c r="R408" s="13">
        <v>41717</v>
      </c>
      <c r="S408" s="13">
        <v>41717</v>
      </c>
    </row>
    <row r="409" spans="1:19">
      <c r="A409" s="10">
        <v>2014</v>
      </c>
      <c r="B409" s="11" t="s">
        <v>489</v>
      </c>
      <c r="C409" s="11" t="s">
        <v>490</v>
      </c>
      <c r="D409" s="12">
        <v>1002052</v>
      </c>
      <c r="E409" s="12">
        <v>2</v>
      </c>
      <c r="F409" s="12"/>
      <c r="G409" s="12">
        <v>790</v>
      </c>
      <c r="H409" s="12">
        <v>13</v>
      </c>
      <c r="I409" s="12"/>
      <c r="J409" s="12" t="s">
        <v>118</v>
      </c>
      <c r="K409" s="12" t="b">
        <v>1</v>
      </c>
      <c r="L409" s="12">
        <v>1</v>
      </c>
      <c r="M409" s="8">
        <v>2015</v>
      </c>
      <c r="N409" s="9">
        <v>0</v>
      </c>
      <c r="O409" s="9">
        <v>0</v>
      </c>
      <c r="P409" s="9">
        <v>0</v>
      </c>
      <c r="Q409" s="9">
        <v>0</v>
      </c>
      <c r="R409" s="13">
        <v>41717</v>
      </c>
      <c r="S409" s="13">
        <v>41717</v>
      </c>
    </row>
    <row r="410" spans="1:19">
      <c r="A410" s="10">
        <v>2014</v>
      </c>
      <c r="B410" s="11" t="s">
        <v>489</v>
      </c>
      <c r="C410" s="11" t="s">
        <v>490</v>
      </c>
      <c r="D410" s="12">
        <v>1002052</v>
      </c>
      <c r="E410" s="12">
        <v>2</v>
      </c>
      <c r="F410" s="12"/>
      <c r="G410" s="12">
        <v>660</v>
      </c>
      <c r="H410" s="12">
        <v>12</v>
      </c>
      <c r="I410" s="12"/>
      <c r="J410" s="12" t="s">
        <v>97</v>
      </c>
      <c r="K410" s="12" t="b">
        <v>1</v>
      </c>
      <c r="L410" s="12">
        <v>3</v>
      </c>
      <c r="M410" s="8">
        <v>2017</v>
      </c>
      <c r="N410" s="9">
        <v>0</v>
      </c>
      <c r="O410" s="9">
        <v>0</v>
      </c>
      <c r="P410" s="9">
        <v>0</v>
      </c>
      <c r="Q410" s="9">
        <v>0</v>
      </c>
      <c r="R410" s="13">
        <v>41717</v>
      </c>
      <c r="S410" s="13">
        <v>41717</v>
      </c>
    </row>
    <row r="411" spans="1:19">
      <c r="A411" s="10">
        <v>2014</v>
      </c>
      <c r="B411" s="11" t="s">
        <v>489</v>
      </c>
      <c r="C411" s="11" t="s">
        <v>490</v>
      </c>
      <c r="D411" s="12">
        <v>1002052</v>
      </c>
      <c r="E411" s="12">
        <v>2</v>
      </c>
      <c r="F411" s="12"/>
      <c r="G411" s="12">
        <v>410</v>
      </c>
      <c r="H411" s="12">
        <v>8</v>
      </c>
      <c r="I411" s="12"/>
      <c r="J411" s="12" t="s">
        <v>146</v>
      </c>
      <c r="K411" s="12" t="b">
        <v>1</v>
      </c>
      <c r="L411" s="12">
        <v>3</v>
      </c>
      <c r="M411" s="8">
        <v>2017</v>
      </c>
      <c r="N411" s="9">
        <v>0</v>
      </c>
      <c r="O411" s="9">
        <v>0</v>
      </c>
      <c r="P411" s="9">
        <v>0</v>
      </c>
      <c r="Q411" s="9">
        <v>0</v>
      </c>
      <c r="R411" s="13">
        <v>41717</v>
      </c>
      <c r="S411" s="13">
        <v>41717</v>
      </c>
    </row>
    <row r="412" spans="1:19">
      <c r="A412" s="10">
        <v>2014</v>
      </c>
      <c r="B412" s="11" t="s">
        <v>489</v>
      </c>
      <c r="C412" s="11" t="s">
        <v>490</v>
      </c>
      <c r="D412" s="12">
        <v>1002052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123</v>
      </c>
      <c r="K412" s="12" t="b">
        <v>1</v>
      </c>
      <c r="L412" s="12">
        <v>0</v>
      </c>
      <c r="M412" s="8">
        <v>2014</v>
      </c>
      <c r="N412" s="9">
        <v>0</v>
      </c>
      <c r="O412" s="9">
        <v>0</v>
      </c>
      <c r="P412" s="9">
        <v>0</v>
      </c>
      <c r="Q412" s="9">
        <v>0</v>
      </c>
      <c r="R412" s="13">
        <v>41717</v>
      </c>
      <c r="S412" s="13">
        <v>41717</v>
      </c>
    </row>
    <row r="413" spans="1:19">
      <c r="A413" s="10">
        <v>2014</v>
      </c>
      <c r="B413" s="11" t="s">
        <v>489</v>
      </c>
      <c r="C413" s="11" t="s">
        <v>490</v>
      </c>
      <c r="D413" s="12">
        <v>1002052</v>
      </c>
      <c r="E413" s="12">
        <v>2</v>
      </c>
      <c r="F413" s="12"/>
      <c r="G413" s="12">
        <v>980</v>
      </c>
      <c r="H413" s="12">
        <v>15.2</v>
      </c>
      <c r="I413" s="12"/>
      <c r="J413" s="12" t="s">
        <v>423</v>
      </c>
      <c r="K413" s="12" t="b">
        <v>1</v>
      </c>
      <c r="L413" s="12">
        <v>3</v>
      </c>
      <c r="M413" s="8">
        <v>2017</v>
      </c>
      <c r="N413" s="9">
        <v>0</v>
      </c>
      <c r="O413" s="9">
        <v>0</v>
      </c>
      <c r="P413" s="9">
        <v>0</v>
      </c>
      <c r="Q413" s="9">
        <v>0</v>
      </c>
      <c r="R413" s="13">
        <v>41717</v>
      </c>
      <c r="S413" s="13">
        <v>41717</v>
      </c>
    </row>
    <row r="414" spans="1:19">
      <c r="A414" s="10">
        <v>2014</v>
      </c>
      <c r="B414" s="11" t="s">
        <v>489</v>
      </c>
      <c r="C414" s="11" t="s">
        <v>490</v>
      </c>
      <c r="D414" s="12">
        <v>1002052</v>
      </c>
      <c r="E414" s="12">
        <v>2</v>
      </c>
      <c r="F414" s="12"/>
      <c r="G414" s="12">
        <v>332</v>
      </c>
      <c r="H414" s="12" t="s">
        <v>79</v>
      </c>
      <c r="I414" s="12"/>
      <c r="J414" s="12" t="s">
        <v>377</v>
      </c>
      <c r="K414" s="12" t="b">
        <v>1</v>
      </c>
      <c r="L414" s="12">
        <v>1</v>
      </c>
      <c r="M414" s="8">
        <v>2015</v>
      </c>
      <c r="N414" s="9">
        <v>552822</v>
      </c>
      <c r="O414" s="9">
        <v>595645.15</v>
      </c>
      <c r="P414" s="9">
        <v>0</v>
      </c>
      <c r="Q414" s="9">
        <v>0</v>
      </c>
      <c r="R414" s="13">
        <v>41717</v>
      </c>
      <c r="S414" s="13">
        <v>41717</v>
      </c>
    </row>
    <row r="415" spans="1:19">
      <c r="A415" s="10">
        <v>2014</v>
      </c>
      <c r="B415" s="11" t="s">
        <v>489</v>
      </c>
      <c r="C415" s="11" t="s">
        <v>490</v>
      </c>
      <c r="D415" s="12">
        <v>1002052</v>
      </c>
      <c r="E415" s="12">
        <v>2</v>
      </c>
      <c r="F415" s="12"/>
      <c r="G415" s="12">
        <v>590</v>
      </c>
      <c r="H415" s="12">
        <v>11.2</v>
      </c>
      <c r="I415" s="12"/>
      <c r="J415" s="12" t="s">
        <v>89</v>
      </c>
      <c r="K415" s="12" t="b">
        <v>1</v>
      </c>
      <c r="L415" s="12">
        <v>3</v>
      </c>
      <c r="M415" s="8">
        <v>2017</v>
      </c>
      <c r="N415" s="9">
        <v>1397090.95</v>
      </c>
      <c r="O415" s="9">
        <v>1438877.18</v>
      </c>
      <c r="P415" s="9">
        <v>1491519</v>
      </c>
      <c r="Q415" s="9">
        <v>1343112.1</v>
      </c>
      <c r="R415" s="13">
        <v>41717</v>
      </c>
      <c r="S415" s="13">
        <v>41717</v>
      </c>
    </row>
    <row r="416" spans="1:19">
      <c r="A416" s="10">
        <v>2014</v>
      </c>
      <c r="B416" s="11" t="s">
        <v>489</v>
      </c>
      <c r="C416" s="11" t="s">
        <v>490</v>
      </c>
      <c r="D416" s="12">
        <v>1002052</v>
      </c>
      <c r="E416" s="12">
        <v>2</v>
      </c>
      <c r="F416" s="12"/>
      <c r="G416" s="12">
        <v>680</v>
      </c>
      <c r="H416" s="12" t="s">
        <v>99</v>
      </c>
      <c r="I416" s="12"/>
      <c r="J416" s="12" t="s">
        <v>100</v>
      </c>
      <c r="K416" s="12" t="b">
        <v>1</v>
      </c>
      <c r="L416" s="12">
        <v>2</v>
      </c>
      <c r="M416" s="8">
        <v>2016</v>
      </c>
      <c r="N416" s="9">
        <v>104205.75</v>
      </c>
      <c r="O416" s="9">
        <v>160689</v>
      </c>
      <c r="P416" s="9">
        <v>96205.25</v>
      </c>
      <c r="Q416" s="9">
        <v>93191.67</v>
      </c>
      <c r="R416" s="13">
        <v>41717</v>
      </c>
      <c r="S416" s="13">
        <v>41717</v>
      </c>
    </row>
    <row r="417" spans="1:19">
      <c r="A417" s="10">
        <v>2014</v>
      </c>
      <c r="B417" s="11" t="s">
        <v>489</v>
      </c>
      <c r="C417" s="11" t="s">
        <v>490</v>
      </c>
      <c r="D417" s="12">
        <v>1002052</v>
      </c>
      <c r="E417" s="12">
        <v>2</v>
      </c>
      <c r="F417" s="12"/>
      <c r="G417" s="12">
        <v>160</v>
      </c>
      <c r="H417" s="12" t="s">
        <v>62</v>
      </c>
      <c r="I417" s="12"/>
      <c r="J417" s="12" t="s">
        <v>365</v>
      </c>
      <c r="K417" s="12" t="b">
        <v>1</v>
      </c>
      <c r="L417" s="12">
        <v>3</v>
      </c>
      <c r="M417" s="8">
        <v>2017</v>
      </c>
      <c r="N417" s="9">
        <v>0</v>
      </c>
      <c r="O417" s="9">
        <v>0</v>
      </c>
      <c r="P417" s="9">
        <v>0</v>
      </c>
      <c r="Q417" s="9">
        <v>0</v>
      </c>
      <c r="R417" s="13">
        <v>41717</v>
      </c>
      <c r="S417" s="13">
        <v>41717</v>
      </c>
    </row>
    <row r="418" spans="1:19">
      <c r="A418" s="10">
        <v>2014</v>
      </c>
      <c r="B418" s="11" t="s">
        <v>489</v>
      </c>
      <c r="C418" s="11" t="s">
        <v>490</v>
      </c>
      <c r="D418" s="12">
        <v>1002052</v>
      </c>
      <c r="E418" s="12">
        <v>2</v>
      </c>
      <c r="F418" s="12"/>
      <c r="G418" s="12">
        <v>50</v>
      </c>
      <c r="H418" s="12" t="s">
        <v>45</v>
      </c>
      <c r="I418" s="12"/>
      <c r="J418" s="12" t="s">
        <v>46</v>
      </c>
      <c r="K418" s="12" t="b">
        <v>1</v>
      </c>
      <c r="L418" s="12">
        <v>2</v>
      </c>
      <c r="M418" s="8">
        <v>2016</v>
      </c>
      <c r="N418" s="9">
        <v>3093016.26</v>
      </c>
      <c r="O418" s="9">
        <v>4719070.97</v>
      </c>
      <c r="P418" s="9">
        <v>3848642.4</v>
      </c>
      <c r="Q418" s="9">
        <v>3241540.05</v>
      </c>
      <c r="R418" s="13">
        <v>41717</v>
      </c>
      <c r="S418" s="13">
        <v>41717</v>
      </c>
    </row>
    <row r="419" spans="1:19">
      <c r="A419" s="10">
        <v>2014</v>
      </c>
      <c r="B419" s="11" t="s">
        <v>489</v>
      </c>
      <c r="C419" s="11" t="s">
        <v>490</v>
      </c>
      <c r="D419" s="12">
        <v>1002052</v>
      </c>
      <c r="E419" s="12">
        <v>2</v>
      </c>
      <c r="F419" s="12"/>
      <c r="G419" s="12">
        <v>610</v>
      </c>
      <c r="H419" s="12" t="s">
        <v>90</v>
      </c>
      <c r="I419" s="12"/>
      <c r="J419" s="12" t="s">
        <v>91</v>
      </c>
      <c r="K419" s="12" t="b">
        <v>1</v>
      </c>
      <c r="L419" s="12">
        <v>3</v>
      </c>
      <c r="M419" s="8">
        <v>2017</v>
      </c>
      <c r="N419" s="9">
        <v>123162.52</v>
      </c>
      <c r="O419" s="9">
        <v>156869.10999999999</v>
      </c>
      <c r="P419" s="9">
        <v>145119.65</v>
      </c>
      <c r="Q419" s="9">
        <v>138833.24</v>
      </c>
      <c r="R419" s="13">
        <v>41717</v>
      </c>
      <c r="S419" s="13">
        <v>41717</v>
      </c>
    </row>
    <row r="420" spans="1:19">
      <c r="A420" s="10">
        <v>2014</v>
      </c>
      <c r="B420" s="11" t="s">
        <v>489</v>
      </c>
      <c r="C420" s="11" t="s">
        <v>490</v>
      </c>
      <c r="D420" s="12">
        <v>1002052</v>
      </c>
      <c r="E420" s="12">
        <v>2</v>
      </c>
      <c r="F420" s="12"/>
      <c r="G420" s="12">
        <v>762</v>
      </c>
      <c r="H420" s="12" t="s">
        <v>116</v>
      </c>
      <c r="I420" s="12"/>
      <c r="J420" s="12" t="s">
        <v>117</v>
      </c>
      <c r="K420" s="12" t="b">
        <v>1</v>
      </c>
      <c r="L420" s="12">
        <v>2</v>
      </c>
      <c r="M420" s="8">
        <v>2016</v>
      </c>
      <c r="N420" s="9">
        <v>0</v>
      </c>
      <c r="O420" s="9">
        <v>0</v>
      </c>
      <c r="P420" s="9">
        <v>1590835.04</v>
      </c>
      <c r="Q420" s="9">
        <v>2074095.36</v>
      </c>
      <c r="R420" s="13">
        <v>41717</v>
      </c>
      <c r="S420" s="13">
        <v>41717</v>
      </c>
    </row>
    <row r="421" spans="1:19">
      <c r="A421" s="10">
        <v>2014</v>
      </c>
      <c r="B421" s="11" t="s">
        <v>489</v>
      </c>
      <c r="C421" s="11" t="s">
        <v>490</v>
      </c>
      <c r="D421" s="12">
        <v>1002052</v>
      </c>
      <c r="E421" s="12">
        <v>2</v>
      </c>
      <c r="F421" s="12"/>
      <c r="G421" s="12">
        <v>100</v>
      </c>
      <c r="H421" s="12" t="s">
        <v>54</v>
      </c>
      <c r="I421" s="12"/>
      <c r="J421" s="12" t="s">
        <v>55</v>
      </c>
      <c r="K421" s="12" t="b">
        <v>1</v>
      </c>
      <c r="L421" s="12">
        <v>2</v>
      </c>
      <c r="M421" s="8">
        <v>2016</v>
      </c>
      <c r="N421" s="9">
        <v>140492.99</v>
      </c>
      <c r="O421" s="9">
        <v>69038.91</v>
      </c>
      <c r="P421" s="9">
        <v>330000</v>
      </c>
      <c r="Q421" s="9">
        <v>6200</v>
      </c>
      <c r="R421" s="13">
        <v>41717</v>
      </c>
      <c r="S421" s="13">
        <v>41717</v>
      </c>
    </row>
    <row r="422" spans="1:19">
      <c r="A422" s="10">
        <v>2014</v>
      </c>
      <c r="B422" s="11" t="s">
        <v>489</v>
      </c>
      <c r="C422" s="11" t="s">
        <v>490</v>
      </c>
      <c r="D422" s="12">
        <v>1002052</v>
      </c>
      <c r="E422" s="12">
        <v>2</v>
      </c>
      <c r="F422" s="12"/>
      <c r="G422" s="12">
        <v>510</v>
      </c>
      <c r="H422" s="12">
        <v>9.6</v>
      </c>
      <c r="I422" s="12"/>
      <c r="J422" s="12" t="s">
        <v>395</v>
      </c>
      <c r="K422" s="12" t="b">
        <v>1</v>
      </c>
      <c r="L422" s="12">
        <v>3</v>
      </c>
      <c r="M422" s="8">
        <v>2017</v>
      </c>
      <c r="N422" s="9">
        <v>0</v>
      </c>
      <c r="O422" s="9">
        <v>0</v>
      </c>
      <c r="P422" s="9">
        <v>0</v>
      </c>
      <c r="Q422" s="9">
        <v>0</v>
      </c>
      <c r="R422" s="13">
        <v>41717</v>
      </c>
      <c r="S422" s="13">
        <v>41717</v>
      </c>
    </row>
    <row r="423" spans="1:19">
      <c r="A423" s="10">
        <v>2014</v>
      </c>
      <c r="B423" s="11" t="s">
        <v>489</v>
      </c>
      <c r="C423" s="11" t="s">
        <v>490</v>
      </c>
      <c r="D423" s="12">
        <v>1002052</v>
      </c>
      <c r="E423" s="12">
        <v>2</v>
      </c>
      <c r="F423" s="12"/>
      <c r="G423" s="12">
        <v>730</v>
      </c>
      <c r="H423" s="12">
        <v>12.3</v>
      </c>
      <c r="I423" s="12"/>
      <c r="J423" s="12" t="s">
        <v>108</v>
      </c>
      <c r="K423" s="12" t="b">
        <v>0</v>
      </c>
      <c r="L423" s="12">
        <v>0</v>
      </c>
      <c r="M423" s="8">
        <v>2014</v>
      </c>
      <c r="N423" s="9">
        <v>123162.52</v>
      </c>
      <c r="O423" s="9">
        <v>156869.10999999999</v>
      </c>
      <c r="P423" s="9">
        <v>145119.65</v>
      </c>
      <c r="Q423" s="9">
        <v>138833.24</v>
      </c>
      <c r="R423" s="13">
        <v>41717</v>
      </c>
      <c r="S423" s="13">
        <v>41717</v>
      </c>
    </row>
  </sheetData>
  <sheetCalcPr fullCalcOnLoad="1"/>
  <customSheetViews>
    <customSheetView guid="{9360F695-77C0-4418-82C5-829A762C44E9}" state="hidden">
      <selection activeCell="A4" sqref="A4"/>
      <pageMargins left="0.7" right="0.7" top="0.75" bottom="0.75" header="0.3" footer="0.3"/>
      <pageSetup paperSize="9" orientation="portrait" horizontalDpi="4294967293" verticalDpi="0" r:id="rId1"/>
    </customSheetView>
  </customSheetViews>
  <phoneticPr fontId="66" type="noConversion"/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Zał.1_WPF_bazowy</vt:lpstr>
      <vt:lpstr>WPF_AnalizaWsk_ProjektowanieJST</vt:lpstr>
      <vt:lpstr>definicja</vt:lpstr>
      <vt:lpstr>rysunki</vt:lpstr>
      <vt:lpstr>DaneZrodlowe</vt:lpstr>
      <vt:lpstr>DaneZrodloweDoWsk</vt:lpstr>
      <vt:lpstr>WPF_AnalizaWsk_ProjektowanieJST!Obszar_wydruku</vt:lpstr>
      <vt:lpstr>Zał.1_WPF_bazowy!Obszar_wydruku</vt:lpstr>
      <vt:lpstr>WPF_AnalizaWsk_ProjektowanieJST!Tytuły_wydruku</vt:lpstr>
      <vt:lpstr>Zał.1_WPF_bazowy!Tytuły_wydruku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Your User Name</cp:lastModifiedBy>
  <cp:lastPrinted>2014-03-17T13:49:27Z</cp:lastPrinted>
  <dcterms:created xsi:type="dcterms:W3CDTF">2010-09-17T02:30:46Z</dcterms:created>
  <dcterms:modified xsi:type="dcterms:W3CDTF">2014-03-25T12:56:33Z</dcterms:modified>
</cp:coreProperties>
</file>