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'Zal_1_WPF_uklad_budzetu'!$A$6:$J$59</definedName>
    <definedName name="_xlnm.Print_Area" localSheetId="1">'Zal_1_WPF_wg_przeplywow'!$C$7:$AO$66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<sst xmlns="http://schemas.openxmlformats.org/spreadsheetml/2006/main" count="729" uniqueCount="223">
  <si>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</si>
  <si>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</si>
  <si>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</si>
  <si>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</si>
  <si>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</si>
  <si>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</si>
  <si>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</si>
  <si>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</si>
  <si>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</si>
  <si>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</si>
  <si>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</si>
  <si>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</si>
  <si>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</si>
  <si>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</si>
  <si>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</si>
  <si>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</si>
  <si>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</si>
  <si>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</si>
  <si>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</si>
  <si>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</si>
  <si>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</si>
  <si>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</si>
  <si>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</si>
  <si>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</si>
  <si>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</si>
  <si>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</si>
  <si>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</si>
  <si>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</si>
  <si>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</si>
  <si>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</si>
  <si>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</si>
  <si>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</si>
  <si>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</si>
  <si>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</si>
  <si>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</si>
  <si>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</si>
  <si>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</si>
  <si>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</si>
  <si>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</si>
  <si>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</si>
  <si>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</si>
  <si>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</si>
  <si>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</si>
  <si>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</si>
  <si>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</si>
  <si>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</si>
  <si>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</si>
  <si>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</si>
  <si>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</si>
  <si>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</si>
  <si>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</si>
  <si>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</si>
  <si>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</si>
  <si>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</si>
  <si>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</si>
  <si>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</si>
  <si>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</si>
  <si>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</si>
  <si>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</si>
  <si>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</si>
  <si>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</si>
  <si>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</si>
  <si>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</si>
  <si>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</si>
  <si>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</si>
  <si>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</si>
  <si>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</si>
  <si>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</si>
  <si>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</si>
  <si>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</si>
  <si>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</si>
  <si>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</si>
  <si>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</si>
  <si>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</si>
  <si>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</si>
  <si>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</si>
  <si>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</si>
  <si>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</si>
  <si>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</si>
  <si>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</si>
  <si>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</si>
  <si>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</si>
  <si>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</si>
  <si>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</si>
  <si>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</si>
  <si>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</si>
  <si>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</si>
  <si>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</si>
  <si>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</si>
  <si>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</si>
  <si>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</si>
  <si>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</si>
  <si>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</si>
  <si>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</si>
  <si>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</si>
  <si>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</si>
  <si>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</si>
  <si>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</si>
  <si>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</si>
  <si>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</si>
  <si>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</si>
  <si>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</si>
  <si>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</si>
  <si>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</si>
  <si>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</si>
  <si>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</si>
  <si>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</si>
  <si>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</si>
  <si>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</si>
  <si>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</si>
  <si>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</si>
  <si>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</si>
  <si>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</si>
  <si>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</si>
  <si>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</si>
  <si>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</si>
  <si>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</si>
  <si>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</si>
  <si>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</si>
  <si>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</si>
  <si>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</si>
  <si>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</si>
  <si>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</si>
  <si>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</si>
  <si>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</si>
  <si>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</si>
  <si>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</si>
  <si>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</si>
  <si>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</si>
  <si>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</si>
  <si>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</si>
  <si>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</si>
  <si>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</si>
  <si>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</si>
  <si>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</si>
  <si>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</si>
  <si>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</si>
  <si>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</si>
  <si>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</si>
  <si>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</si>
  <si>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</si>
  <si>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</si>
  <si>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</si>
  <si>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</si>
  <si>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</si>
  <si>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</si>
  <si>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</si>
  <si>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</si>
  <si>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</si>
  <si>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</si>
  <si>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</si>
  <si>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</si>
  <si>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</si>
  <si>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</si>
  <si>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</si>
  <si>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</si>
  <si>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</si>
  <si>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</si>
  <si>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</si>
  <si>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</si>
  <si>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</si>
  <si>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</si>
  <si>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</si>
  <si>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</si>
  <si>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</si>
  <si>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</si>
  <si>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</si>
  <si>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</si>
  <si>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</si>
  <si>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</si>
  <si>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</si>
  <si>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</si>
  <si>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</si>
  <si>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</si>
  <si>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</si>
  <si>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</si>
  <si>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</si>
  <si>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</si>
  <si>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</si>
  <si>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</si>
  <si>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</si>
  <si>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</si>
  <si>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</si>
  <si>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</si>
  <si>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</si>
  <si>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</si>
  <si>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</si>
  <si>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</si>
  <si>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</si>
  <si>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</si>
  <si>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</si>
  <si>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</si>
  <si>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</si>
  <si>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2</t>
  </si>
  <si>
    <t>KRZYŻANÓW</t>
  </si>
  <si>
    <t>([7a]+[7b1]+[2c])/[1]</t>
  </si>
  <si>
    <t>[7a]+[7b]</t>
  </si>
  <si>
    <t>([7a]+[7b1]+[2c]-[2d]-[7a1])/[1]</t>
  </si>
  <si>
    <t>[7a]+[8]</t>
  </si>
  <si>
    <t>[1]-[2]</t>
  </si>
  <si>
    <t>[6]-[7]-[8]</t>
  </si>
  <si>
    <t>([7a]+[7b1]+[2c]+[15]-[2d]-[7a1])/[1]</t>
  </si>
  <si>
    <t>([13])/[1]</t>
  </si>
  <si>
    <t>[26]-[27]</t>
  </si>
  <si>
    <t>[20]</t>
  </si>
  <si>
    <t>[3]+[4]+[5]</t>
  </si>
  <si>
    <t>([7a]+[7b1]+[2c]+[15])/[1]</t>
  </si>
  <si>
    <t>[1a]</t>
  </si>
  <si>
    <t xml:space="preserve"> ([1a]-[24]+[1c])/[1]</t>
  </si>
  <si>
    <t>[10]+[24]</t>
  </si>
  <si>
    <t>[1a]+[1b]</t>
  </si>
  <si>
    <t>[1]</t>
  </si>
  <si>
    <t>[23]-[24]</t>
  </si>
  <si>
    <t>([13]-[14])/[1]</t>
  </si>
  <si>
    <t>[4]+[5]+[11]</t>
  </si>
  <si>
    <t>[20a]-[22]</t>
  </si>
  <si>
    <t>[20a]-[21]</t>
  </si>
  <si>
    <t>[2]+[7b]</t>
  </si>
  <si>
    <t>Wykonanie 2009</t>
  </si>
  <si>
    <t>Wykonanie 2010</t>
  </si>
  <si>
    <t>Plan 3 kw. 2011</t>
  </si>
  <si>
    <t>Przewidywane wykonanie 2011</t>
  </si>
  <si>
    <t>Spełnia art. 243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</si>
</sst>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5" borderId="0" xfId="0" applyFont="1" applyFill="1" applyAlignment="1">
      <alignment/>
    </xf>
    <xf numFmtId="0" fontId="12" fillId="37" borderId="0" xfId="0" applyFont="1" applyFill="1" applyAlignment="1">
      <alignment/>
    </xf>
    <xf numFmtId="0" fontId="14" fillId="37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7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37" borderId="0" xfId="0" applyFont="1" applyFill="1" applyAlignment="1">
      <alignment/>
    </xf>
    <xf numFmtId="0" fontId="12" fillId="35" borderId="0" xfId="0" applyFont="1" applyFill="1" applyAlignment="1">
      <alignment/>
    </xf>
    <xf numFmtId="0" fontId="14" fillId="37" borderId="26" xfId="0" applyFont="1" applyFill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37" borderId="27" xfId="0" applyFont="1" applyFill="1" applyBorder="1" applyAlignment="1">
      <alignment wrapText="1"/>
    </xf>
    <xf numFmtId="0" fontId="15" fillId="0" borderId="27" xfId="0" applyFont="1" applyBorder="1" applyAlignment="1">
      <alignment wrapText="1"/>
    </xf>
    <xf numFmtId="0" fontId="14" fillId="35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4" fillId="35" borderId="27" xfId="0" applyFont="1" applyFill="1" applyBorder="1" applyAlignment="1">
      <alignment wrapText="1"/>
    </xf>
    <xf numFmtId="0" fontId="7" fillId="0" borderId="27" xfId="0" applyFont="1" applyBorder="1" applyAlignment="1">
      <alignment/>
    </xf>
    <xf numFmtId="0" fontId="14" fillId="35" borderId="28" xfId="0" applyFont="1" applyFill="1" applyBorder="1" applyAlignment="1">
      <alignment wrapText="1"/>
    </xf>
    <xf numFmtId="0" fontId="7" fillId="0" borderId="0" xfId="0" applyFont="1" applyAlignment="1">
      <alignment/>
    </xf>
    <xf numFmtId="4" fontId="3" fillId="0" borderId="26" xfId="57" applyNumberFormat="1" applyFont="1" applyFill="1" applyBorder="1" applyAlignment="1">
      <alignment vertical="center"/>
      <protection/>
    </xf>
    <xf numFmtId="4" fontId="2" fillId="0" borderId="27" xfId="57" applyNumberFormat="1" applyFont="1" applyFill="1" applyBorder="1" applyAlignment="1">
      <alignment vertical="center" wrapText="1"/>
      <protection/>
    </xf>
    <xf numFmtId="4" fontId="2" fillId="0" borderId="28" xfId="57" applyNumberFormat="1" applyFont="1" applyFill="1" applyBorder="1" applyAlignment="1">
      <alignment vertical="center" wrapText="1"/>
      <protection/>
    </xf>
    <xf numFmtId="4" fontId="3" fillId="0" borderId="26" xfId="57" applyNumberFormat="1" applyFont="1" applyFill="1" applyBorder="1" applyAlignment="1">
      <alignment vertical="center" wrapText="1"/>
      <protection/>
    </xf>
    <xf numFmtId="4" fontId="3" fillId="0" borderId="21" xfId="57" applyNumberFormat="1" applyFont="1" applyFill="1" applyBorder="1" applyAlignment="1">
      <alignment vertical="center" wrapText="1"/>
      <protection/>
    </xf>
    <xf numFmtId="4" fontId="2" fillId="0" borderId="27" xfId="57" applyNumberFormat="1" applyFont="1" applyFill="1" applyBorder="1" applyAlignment="1" quotePrefix="1">
      <alignment vertical="center" wrapText="1"/>
      <protection/>
    </xf>
    <xf numFmtId="4" fontId="3" fillId="0" borderId="27" xfId="57" applyNumberFormat="1" applyFont="1" applyFill="1" applyBorder="1" applyAlignment="1">
      <alignment vertical="center" wrapText="1"/>
      <protection/>
    </xf>
    <xf numFmtId="4" fontId="3" fillId="0" borderId="28" xfId="57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/>
    </xf>
    <xf numFmtId="2" fontId="2" fillId="0" borderId="26" xfId="57" applyNumberFormat="1" applyFont="1" applyFill="1" applyBorder="1" applyAlignment="1">
      <alignment vertical="center" wrapText="1"/>
      <protection/>
    </xf>
    <xf numFmtId="2" fontId="2" fillId="0" borderId="28" xfId="57" applyNumberFormat="1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 wrapText="1"/>
      <protection/>
    </xf>
    <xf numFmtId="2" fontId="3" fillId="0" borderId="21" xfId="57" applyNumberFormat="1" applyFont="1" applyFill="1" applyBorder="1" applyAlignment="1">
      <alignment vertical="center" wrapText="1"/>
      <protection/>
    </xf>
    <xf numFmtId="10" fontId="3" fillId="0" borderId="27" xfId="56" applyNumberFormat="1" applyFont="1" applyFill="1" applyBorder="1" applyAlignment="1">
      <alignment vertical="center" wrapText="1"/>
      <protection/>
    </xf>
    <xf numFmtId="49" fontId="3" fillId="33" borderId="21" xfId="57" applyNumberFormat="1" applyFont="1" applyFill="1" applyBorder="1" applyAlignment="1">
      <alignment horizontal="center" vertical="center" wrapText="1"/>
      <protection/>
    </xf>
    <xf numFmtId="2" fontId="3" fillId="0" borderId="21" xfId="0" applyNumberFormat="1" applyFont="1" applyFill="1" applyBorder="1" applyAlignment="1">
      <alignment vertical="top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G89"/>
  <sheetViews>
    <sheetView tabSelected="1" view="pageLayout" zoomScaleSheetLayoutView="100" workbookViewId="0" topLeftCell="A1">
      <selection activeCell="H54" sqref="H54"/>
    </sheetView>
  </sheetViews>
  <sheetFormatPr defaultColWidth="8.796875" defaultRowHeight="14.25"/>
  <cols>
    <col min="1" max="1" width="3.69921875" style="1" customWidth="1"/>
    <col min="2" max="2" width="41.59765625" style="1" customWidth="1"/>
    <col min="3" max="3" width="10.69921875" style="192" customWidth="1"/>
    <col min="4" max="4" width="10.59765625" style="192" customWidth="1"/>
    <col min="5" max="5" width="10.19921875" style="192" customWidth="1"/>
    <col min="6" max="6" width="10.3984375" style="192" customWidth="1"/>
    <col min="7" max="7" width="10.59765625" style="1" customWidth="1"/>
    <col min="8" max="8" width="9.59765625" style="1" customWidth="1"/>
    <col min="9" max="10" width="10.5" style="1" customWidth="1"/>
    <col min="11" max="16384" width="9" style="1" customWidth="1"/>
  </cols>
  <sheetData>
    <row r="1" spans="2:10" s="4" customFormat="1" ht="12">
      <c r="B1" s="26" t="s">
        <v>42</v>
      </c>
      <c r="C1" s="179"/>
      <c r="D1" s="179"/>
      <c r="E1" s="179"/>
      <c r="F1" s="179"/>
      <c r="G1" s="16" t="str">
        <f>+Zal_1_WPF_wg_przeplywow!D1</f>
        <v>2</v>
      </c>
      <c r="H1" s="22" t="str">
        <f>G2&amp;" - "&amp;"WPF za lata "&amp;G3&amp;" - Nr Uchwały JST: "&amp;G1</f>
        <v>(1002052) - KRZYŻANÓW - WPF za lata 2012-2015 - Nr Uchwały JST: 2</v>
      </c>
      <c r="J1" s="1"/>
    </row>
    <row r="2" spans="2:10" s="4" customFormat="1" ht="12">
      <c r="B2" s="19" t="s">
        <v>40</v>
      </c>
      <c r="C2" s="23"/>
      <c r="D2" s="23"/>
      <c r="E2" s="23"/>
      <c r="F2" s="23"/>
      <c r="G2" s="20" t="str">
        <f>+Zal_1_WPF_wg_przeplywow!D2</f>
        <v>(1002052) - KRZYŻANÓW</v>
      </c>
      <c r="J2" s="16"/>
    </row>
    <row r="3" spans="2:10" s="4" customFormat="1" ht="12.75">
      <c r="B3" s="18" t="s">
        <v>41</v>
      </c>
      <c r="C3" s="17"/>
      <c r="D3" s="17"/>
      <c r="E3" s="17"/>
      <c r="F3" s="17"/>
      <c r="G3" s="21" t="str">
        <f>+Zal_1_WPF_wg_przeplywow!D3</f>
        <v>2012-2015</v>
      </c>
      <c r="H3" s="34" t="s">
        <v>191</v>
      </c>
      <c r="J3" s="1"/>
    </row>
    <row r="4" spans="1:10" s="4" customFormat="1" ht="15">
      <c r="A4" s="1"/>
      <c r="B4" s="178">
        <f>""</f>
      </c>
      <c r="C4" s="180"/>
      <c r="D4" s="180"/>
      <c r="E4" s="180"/>
      <c r="F4" s="180"/>
      <c r="G4" s="1"/>
      <c r="H4" s="1"/>
      <c r="I4" s="1"/>
      <c r="J4" s="1"/>
    </row>
    <row r="5" spans="1:215" s="29" customFormat="1" ht="42" customHeight="1">
      <c r="A5" s="57" t="s">
        <v>0</v>
      </c>
      <c r="B5" s="58" t="s">
        <v>1</v>
      </c>
      <c r="C5" s="209" t="s">
        <v>218</v>
      </c>
      <c r="D5" s="209" t="s">
        <v>219</v>
      </c>
      <c r="E5" s="209" t="s">
        <v>220</v>
      </c>
      <c r="F5" s="209" t="s">
        <v>221</v>
      </c>
      <c r="G5" s="59">
        <v>2012</v>
      </c>
      <c r="H5" s="59">
        <v>2013</v>
      </c>
      <c r="I5" s="59">
        <v>2014</v>
      </c>
      <c r="J5" s="59">
        <v>2015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10" ht="12">
      <c r="A6" s="66" t="s">
        <v>45</v>
      </c>
      <c r="B6" s="67" t="s">
        <v>57</v>
      </c>
      <c r="C6" s="193">
        <f aca="true" t="shared" si="0" ref="C6:J6">+C7+C9</f>
        <v>9979375.89</v>
      </c>
      <c r="D6" s="193">
        <f t="shared" si="0"/>
        <v>11643249.6</v>
      </c>
      <c r="E6" s="193">
        <f t="shared" si="0"/>
        <v>11310469.67</v>
      </c>
      <c r="F6" s="193">
        <f t="shared" si="0"/>
        <v>11775365.41</v>
      </c>
      <c r="G6" s="68">
        <f t="shared" si="0"/>
        <v>12867168</v>
      </c>
      <c r="H6" s="68">
        <f t="shared" si="0"/>
        <v>13641228</v>
      </c>
      <c r="I6" s="68">
        <f t="shared" si="0"/>
        <v>13928170</v>
      </c>
      <c r="J6" s="68">
        <f t="shared" si="0"/>
        <v>13052480</v>
      </c>
    </row>
    <row r="7" spans="1:10" ht="12">
      <c r="A7" s="69"/>
      <c r="B7" s="70" t="s">
        <v>58</v>
      </c>
      <c r="C7" s="194">
        <v>9865774.89</v>
      </c>
      <c r="D7" s="194">
        <v>10581421.11</v>
      </c>
      <c r="E7" s="194">
        <v>9833971.37</v>
      </c>
      <c r="F7" s="194">
        <v>10216049.92</v>
      </c>
      <c r="G7" s="71">
        <f>+Zal_1_WPF_wg_przeplywow!C8</f>
        <v>11737635</v>
      </c>
      <c r="H7" s="71">
        <f>+Zal_1_WPF_wg_przeplywow!D8</f>
        <v>12325000</v>
      </c>
      <c r="I7" s="71">
        <f>+Zal_1_WPF_wg_przeplywow!E8</f>
        <v>12448000</v>
      </c>
      <c r="J7" s="71">
        <f>+Zal_1_WPF_wg_przeplywow!F8</f>
        <v>13052480</v>
      </c>
    </row>
    <row r="8" spans="1:10" ht="12">
      <c r="A8" s="69"/>
      <c r="B8" s="72" t="s">
        <v>84</v>
      </c>
      <c r="C8" s="194">
        <v>100014.64</v>
      </c>
      <c r="D8" s="194">
        <v>77521.49</v>
      </c>
      <c r="E8" s="194">
        <v>97376</v>
      </c>
      <c r="F8" s="194">
        <v>97376</v>
      </c>
      <c r="G8" s="71">
        <f>+Zal_1_WPF_wg_przeplywow!C9</f>
        <v>0</v>
      </c>
      <c r="H8" s="71">
        <f>+Zal_1_WPF_wg_przeplywow!D9</f>
        <v>0</v>
      </c>
      <c r="I8" s="71">
        <f>+Zal_1_WPF_wg_przeplywow!E9</f>
        <v>0</v>
      </c>
      <c r="J8" s="71">
        <f>+Zal_1_WPF_wg_przeplywow!F9</f>
        <v>0</v>
      </c>
    </row>
    <row r="9" spans="1:10" ht="12">
      <c r="A9" s="69"/>
      <c r="B9" s="70" t="s">
        <v>85</v>
      </c>
      <c r="C9" s="194">
        <v>113601</v>
      </c>
      <c r="D9" s="194">
        <v>1061828.49</v>
      </c>
      <c r="E9" s="194">
        <v>1476498.3</v>
      </c>
      <c r="F9" s="194">
        <v>1559315.49</v>
      </c>
      <c r="G9" s="71">
        <f>+Zal_1_WPF_wg_przeplywow!C10</f>
        <v>1129533</v>
      </c>
      <c r="H9" s="71">
        <f>+Zal_1_WPF_wg_przeplywow!D10</f>
        <v>1316228</v>
      </c>
      <c r="I9" s="71">
        <f>+Zal_1_WPF_wg_przeplywow!E10</f>
        <v>1480170</v>
      </c>
      <c r="J9" s="71">
        <f>+Zal_1_WPF_wg_przeplywow!F10</f>
        <v>0</v>
      </c>
    </row>
    <row r="10" spans="1:10" ht="12">
      <c r="A10" s="69"/>
      <c r="B10" s="73" t="s">
        <v>86</v>
      </c>
      <c r="C10" s="194">
        <v>5251</v>
      </c>
      <c r="D10" s="194">
        <v>319119.33</v>
      </c>
      <c r="E10" s="194">
        <v>69061</v>
      </c>
      <c r="F10" s="194">
        <v>151878.19</v>
      </c>
      <c r="G10" s="71">
        <f>+Zal_1_WPF_wg_przeplywow!C11</f>
        <v>300000</v>
      </c>
      <c r="H10" s="71">
        <f>+Zal_1_WPF_wg_przeplywow!D11</f>
        <v>0</v>
      </c>
      <c r="I10" s="71">
        <f>+Zal_1_WPF_wg_przeplywow!E11</f>
        <v>0</v>
      </c>
      <c r="J10" s="71">
        <f>+Zal_1_WPF_wg_przeplywow!F11</f>
        <v>0</v>
      </c>
    </row>
    <row r="11" spans="1:10" ht="12">
      <c r="A11" s="83"/>
      <c r="B11" s="86" t="s">
        <v>87</v>
      </c>
      <c r="C11" s="195">
        <v>0</v>
      </c>
      <c r="D11" s="195">
        <v>0</v>
      </c>
      <c r="E11" s="195">
        <v>1041937.3</v>
      </c>
      <c r="F11" s="195">
        <v>1041937.3</v>
      </c>
      <c r="G11" s="85">
        <f>+Zal_1_WPF_wg_przeplywow!C12</f>
        <v>827033</v>
      </c>
      <c r="H11" s="85">
        <f>+Zal_1_WPF_wg_przeplywow!D12</f>
        <v>1316228</v>
      </c>
      <c r="I11" s="85">
        <f>+Zal_1_WPF_wg_przeplywow!E12</f>
        <v>1480170</v>
      </c>
      <c r="J11" s="85">
        <f>+Zal_1_WPF_wg_przeplywow!F12</f>
        <v>0</v>
      </c>
    </row>
    <row r="12" spans="1:10" s="4" customFormat="1" ht="12.75" thickBot="1">
      <c r="A12" s="66" t="s">
        <v>2</v>
      </c>
      <c r="B12" s="67" t="s">
        <v>46</v>
      </c>
      <c r="C12" s="68">
        <f aca="true" t="shared" si="1" ref="C12:J12">+C13+C20</f>
        <v>9156656.98</v>
      </c>
      <c r="D12" s="68">
        <f t="shared" si="1"/>
        <v>12920533.07</v>
      </c>
      <c r="E12" s="68">
        <f t="shared" si="1"/>
        <v>13482438.37</v>
      </c>
      <c r="F12" s="68">
        <f t="shared" si="1"/>
        <v>13799500.92</v>
      </c>
      <c r="G12" s="68">
        <f t="shared" si="1"/>
        <v>13628836</v>
      </c>
      <c r="H12" s="68">
        <f t="shared" si="1"/>
        <v>11736442.8</v>
      </c>
      <c r="I12" s="68">
        <f t="shared" si="1"/>
        <v>12807775.8</v>
      </c>
      <c r="J12" s="68">
        <f t="shared" si="1"/>
        <v>12762993</v>
      </c>
    </row>
    <row r="13" spans="1:215" s="30" customFormat="1" ht="12">
      <c r="A13" s="74"/>
      <c r="B13" s="70" t="s">
        <v>59</v>
      </c>
      <c r="C13" s="75">
        <f aca="true" t="shared" si="2" ref="C13:J13">+C14+C18</f>
        <v>8561053.01</v>
      </c>
      <c r="D13" s="75">
        <f t="shared" si="2"/>
        <v>9426363.36</v>
      </c>
      <c r="E13" s="75">
        <f t="shared" si="2"/>
        <v>9283402.37</v>
      </c>
      <c r="F13" s="75">
        <f t="shared" si="2"/>
        <v>9955641.92</v>
      </c>
      <c r="G13" s="75">
        <f t="shared" si="2"/>
        <v>8713236</v>
      </c>
      <c r="H13" s="75">
        <f t="shared" si="2"/>
        <v>8866308</v>
      </c>
      <c r="I13" s="75">
        <f t="shared" si="2"/>
        <v>8999300</v>
      </c>
      <c r="J13" s="75">
        <f t="shared" si="2"/>
        <v>9269300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</row>
    <row r="14" spans="1:10" ht="12">
      <c r="A14" s="74"/>
      <c r="B14" s="72" t="s">
        <v>90</v>
      </c>
      <c r="C14" s="199">
        <v>8538520.04</v>
      </c>
      <c r="D14" s="199">
        <v>9407297.07</v>
      </c>
      <c r="E14" s="199">
        <v>9238552.37</v>
      </c>
      <c r="F14" s="199">
        <v>9910791.92</v>
      </c>
      <c r="G14" s="75">
        <f>+Zal_1_WPF_wg_przeplywow!C13</f>
        <v>8603236</v>
      </c>
      <c r="H14" s="75">
        <f>+Zal_1_WPF_wg_przeplywow!D13</f>
        <v>8706308</v>
      </c>
      <c r="I14" s="75">
        <f>+Zal_1_WPF_wg_przeplywow!E13</f>
        <v>8919300</v>
      </c>
      <c r="J14" s="75">
        <f>+Zal_1_WPF_wg_przeplywow!F13</f>
        <v>9239300</v>
      </c>
    </row>
    <row r="15" spans="1:10" ht="24">
      <c r="A15" s="69"/>
      <c r="B15" s="76" t="s">
        <v>154</v>
      </c>
      <c r="C15" s="194">
        <v>117664.28</v>
      </c>
      <c r="D15" s="194">
        <v>91201.75</v>
      </c>
      <c r="E15" s="194">
        <v>114560</v>
      </c>
      <c r="F15" s="194">
        <v>128000</v>
      </c>
      <c r="G15" s="75">
        <f>+Zal_1_WPF_wg_przeplywow!C19</f>
        <v>0</v>
      </c>
      <c r="H15" s="75">
        <f>+Zal_1_WPF_wg_przeplywow!D19</f>
        <v>0</v>
      </c>
      <c r="I15" s="75">
        <f>+Zal_1_WPF_wg_przeplywow!E19</f>
        <v>0</v>
      </c>
      <c r="J15" s="75">
        <f>+Zal_1_WPF_wg_przeplywow!F19</f>
        <v>0</v>
      </c>
    </row>
    <row r="16" spans="1:10" ht="13.5" customHeight="1">
      <c r="A16" s="69"/>
      <c r="B16" s="76" t="s">
        <v>164</v>
      </c>
      <c r="C16" s="194">
        <v>0</v>
      </c>
      <c r="D16" s="194">
        <v>0</v>
      </c>
      <c r="E16" s="194">
        <v>0</v>
      </c>
      <c r="F16" s="194">
        <v>0</v>
      </c>
      <c r="G16" s="71">
        <f>+Zal_1_WPF_wg_przeplywow!C16</f>
        <v>0</v>
      </c>
      <c r="H16" s="71">
        <f>+Zal_1_WPF_wg_przeplywow!D16</f>
        <v>0</v>
      </c>
      <c r="I16" s="71">
        <f>+Zal_1_WPF_wg_przeplywow!E16</f>
        <v>0</v>
      </c>
      <c r="J16" s="71">
        <f>+Zal_1_WPF_wg_przeplywow!F16</f>
        <v>0</v>
      </c>
    </row>
    <row r="17" spans="1:10" ht="24">
      <c r="A17" s="69"/>
      <c r="B17" s="77" t="s">
        <v>165</v>
      </c>
      <c r="C17" s="194">
        <v>0</v>
      </c>
      <c r="D17" s="194">
        <v>0</v>
      </c>
      <c r="E17" s="194">
        <v>0</v>
      </c>
      <c r="F17" s="194">
        <v>0</v>
      </c>
      <c r="G17" s="71">
        <f>+Zal_1_WPF_wg_przeplywow!C17</f>
        <v>0</v>
      </c>
      <c r="H17" s="71">
        <f>+Zal_1_WPF_wg_przeplywow!D17</f>
        <v>0</v>
      </c>
      <c r="I17" s="71">
        <f>+Zal_1_WPF_wg_przeplywow!E17</f>
        <v>0</v>
      </c>
      <c r="J17" s="71">
        <f>+Zal_1_WPF_wg_przeplywow!F17</f>
        <v>0</v>
      </c>
    </row>
    <row r="18" spans="1:10" ht="12">
      <c r="A18" s="74"/>
      <c r="B18" s="76" t="s">
        <v>13</v>
      </c>
      <c r="C18" s="194">
        <v>22532.97</v>
      </c>
      <c r="D18" s="194">
        <v>19066.29</v>
      </c>
      <c r="E18" s="194">
        <v>44850</v>
      </c>
      <c r="F18" s="194">
        <v>44850</v>
      </c>
      <c r="G18" s="71">
        <f>+Zal_1_WPF_wg_przeplywow!C29</f>
        <v>110000</v>
      </c>
      <c r="H18" s="71">
        <f>+Zal_1_WPF_wg_przeplywow!D29</f>
        <v>160000</v>
      </c>
      <c r="I18" s="71">
        <f>+Zal_1_WPF_wg_przeplywow!E29</f>
        <v>80000</v>
      </c>
      <c r="J18" s="71">
        <f>+Zal_1_WPF_wg_przeplywow!F29</f>
        <v>30000</v>
      </c>
    </row>
    <row r="19" spans="1:10" ht="12">
      <c r="A19" s="74"/>
      <c r="B19" s="77" t="s">
        <v>166</v>
      </c>
      <c r="C19" s="194">
        <v>0</v>
      </c>
      <c r="D19" s="194">
        <v>0</v>
      </c>
      <c r="E19" s="194">
        <v>35100</v>
      </c>
      <c r="F19" s="194">
        <v>40100</v>
      </c>
      <c r="G19" s="71">
        <f>+Zal_1_WPF_wg_przeplywow!C30</f>
        <v>100000</v>
      </c>
      <c r="H19" s="71">
        <f>+Zal_1_WPF_wg_przeplywow!D30</f>
        <v>150000</v>
      </c>
      <c r="I19" s="71">
        <f>+Zal_1_WPF_wg_przeplywow!E30</f>
        <v>80000</v>
      </c>
      <c r="J19" s="71">
        <f>+Zal_1_WPF_wg_przeplywow!F30</f>
        <v>30000</v>
      </c>
    </row>
    <row r="20" spans="1:10" ht="12">
      <c r="A20" s="74"/>
      <c r="B20" s="70" t="s">
        <v>47</v>
      </c>
      <c r="C20" s="199">
        <v>595603.97</v>
      </c>
      <c r="D20" s="199">
        <v>3494169.71</v>
      </c>
      <c r="E20" s="199">
        <v>4199036</v>
      </c>
      <c r="F20" s="199">
        <v>3843859</v>
      </c>
      <c r="G20" s="75">
        <f>+Zal_1_WPF_wg_przeplywow!C33</f>
        <v>4915600</v>
      </c>
      <c r="H20" s="75">
        <f>+Zal_1_WPF_wg_przeplywow!D33</f>
        <v>2870134.8</v>
      </c>
      <c r="I20" s="75">
        <f>+Zal_1_WPF_wg_przeplywow!E33</f>
        <v>3808475.8</v>
      </c>
      <c r="J20" s="75">
        <v>3493693</v>
      </c>
    </row>
    <row r="21" spans="1:10" ht="24">
      <c r="A21" s="87"/>
      <c r="B21" s="86" t="s">
        <v>89</v>
      </c>
      <c r="C21" s="200">
        <v>0</v>
      </c>
      <c r="D21" s="200">
        <v>0</v>
      </c>
      <c r="E21" s="200">
        <v>1530217</v>
      </c>
      <c r="F21" s="200">
        <v>1360037</v>
      </c>
      <c r="G21" s="88">
        <f>+Zal_1_WPF_wg_przeplywow!C35</f>
        <v>2100000</v>
      </c>
      <c r="H21" s="88">
        <f>+Zal_1_WPF_wg_przeplywow!D35</f>
        <v>0</v>
      </c>
      <c r="I21" s="88">
        <f>+Zal_1_WPF_wg_przeplywow!E35</f>
        <v>0</v>
      </c>
      <c r="J21" s="88">
        <v>0</v>
      </c>
    </row>
    <row r="22" spans="1:10" ht="12">
      <c r="A22" s="60" t="s">
        <v>7</v>
      </c>
      <c r="B22" s="61" t="s">
        <v>48</v>
      </c>
      <c r="C22" s="56">
        <f aca="true" t="shared" si="3" ref="C22:F23">+C6-C12</f>
        <v>822718.9100000001</v>
      </c>
      <c r="D22" s="56">
        <f t="shared" si="3"/>
        <v>-1277283.4700000007</v>
      </c>
      <c r="E22" s="56">
        <f t="shared" si="3"/>
        <v>-2171968.6999999993</v>
      </c>
      <c r="F22" s="56">
        <f t="shared" si="3"/>
        <v>-2024135.5099999998</v>
      </c>
      <c r="G22" s="56">
        <f aca="true" t="shared" si="4" ref="G22:J23">+G6-G12</f>
        <v>-761668</v>
      </c>
      <c r="H22" s="56">
        <f t="shared" si="4"/>
        <v>1904785.1999999993</v>
      </c>
      <c r="I22" s="56">
        <f t="shared" si="4"/>
        <v>1120394.1999999993</v>
      </c>
      <c r="J22" s="56">
        <f t="shared" si="4"/>
        <v>289487</v>
      </c>
    </row>
    <row r="23" spans="1:10" s="43" customFormat="1" ht="12">
      <c r="A23" s="62" t="s">
        <v>8</v>
      </c>
      <c r="B23" s="63" t="s">
        <v>49</v>
      </c>
      <c r="C23" s="56">
        <f t="shared" si="3"/>
        <v>1304721.8800000008</v>
      </c>
      <c r="D23" s="56">
        <f t="shared" si="3"/>
        <v>1155057.75</v>
      </c>
      <c r="E23" s="56">
        <f t="shared" si="3"/>
        <v>550569</v>
      </c>
      <c r="F23" s="56">
        <f t="shared" si="3"/>
        <v>260408</v>
      </c>
      <c r="G23" s="56">
        <f t="shared" si="4"/>
        <v>3024399</v>
      </c>
      <c r="H23" s="56">
        <f t="shared" si="4"/>
        <v>3458692</v>
      </c>
      <c r="I23" s="56">
        <f t="shared" si="4"/>
        <v>3448700</v>
      </c>
      <c r="J23" s="56">
        <f t="shared" si="4"/>
        <v>3783180</v>
      </c>
    </row>
    <row r="24" spans="1:10" ht="12">
      <c r="A24" s="66" t="s">
        <v>9</v>
      </c>
      <c r="B24" s="67" t="s">
        <v>50</v>
      </c>
      <c r="C24" s="68">
        <f aca="true" t="shared" si="5" ref="C24:J24">+C25+C27+C29</f>
        <v>562982.95</v>
      </c>
      <c r="D24" s="68">
        <f t="shared" si="5"/>
        <v>1148081.86</v>
      </c>
      <c r="E24" s="68">
        <f t="shared" si="5"/>
        <v>2817878.7</v>
      </c>
      <c r="F24" s="68">
        <f>F25+F27+F29</f>
        <v>2625223.8500000006</v>
      </c>
      <c r="G24" s="68">
        <f t="shared" si="5"/>
        <v>2167131.01</v>
      </c>
      <c r="H24" s="68">
        <f t="shared" si="5"/>
        <v>0</v>
      </c>
      <c r="I24" s="68">
        <f t="shared" si="5"/>
        <v>0</v>
      </c>
      <c r="J24" s="68">
        <f t="shared" si="5"/>
        <v>0</v>
      </c>
    </row>
    <row r="25" spans="1:10" ht="36">
      <c r="A25" s="69"/>
      <c r="B25" s="70" t="s">
        <v>60</v>
      </c>
      <c r="C25" s="199">
        <v>562982.95</v>
      </c>
      <c r="D25" s="199">
        <v>1148081.86</v>
      </c>
      <c r="E25" s="199">
        <v>186016.39</v>
      </c>
      <c r="F25" s="199">
        <v>186016.39</v>
      </c>
      <c r="G25" s="75">
        <f>+Zal_1_WPF_wg_przeplywow!C21</f>
        <v>0</v>
      </c>
      <c r="H25" s="75">
        <f>+Zal_1_WPF_wg_przeplywow!D21</f>
        <v>0</v>
      </c>
      <c r="I25" s="75">
        <f>+Zal_1_WPF_wg_przeplywow!E21</f>
        <v>0</v>
      </c>
      <c r="J25" s="75">
        <f>+Zal_1_WPF_wg_przeplywow!F21</f>
        <v>0</v>
      </c>
    </row>
    <row r="26" spans="1:10" ht="12">
      <c r="A26" s="69"/>
      <c r="B26" s="78" t="s">
        <v>61</v>
      </c>
      <c r="C26" s="198">
        <v>0</v>
      </c>
      <c r="D26" s="198">
        <v>889083.28</v>
      </c>
      <c r="E26" s="198">
        <v>178168.7</v>
      </c>
      <c r="F26" s="198">
        <v>0</v>
      </c>
      <c r="G26" s="71">
        <f>+Zal_1_WPF_wg_przeplywow!C22</f>
        <v>0</v>
      </c>
      <c r="H26" s="71">
        <f>+Zal_1_WPF_wg_przeplywow!D22</f>
        <v>0</v>
      </c>
      <c r="I26" s="71">
        <f>+Zal_1_WPF_wg_przeplywow!E22</f>
        <v>0</v>
      </c>
      <c r="J26" s="71">
        <f>+Zal_1_WPF_wg_przeplywow!F22</f>
        <v>0</v>
      </c>
    </row>
    <row r="27" spans="1:10" ht="12">
      <c r="A27" s="69"/>
      <c r="B27" s="70" t="s">
        <v>62</v>
      </c>
      <c r="C27" s="194">
        <v>0</v>
      </c>
      <c r="D27" s="194">
        <v>0</v>
      </c>
      <c r="E27" s="194">
        <v>2610468.59</v>
      </c>
      <c r="F27" s="194">
        <v>2417813.74</v>
      </c>
      <c r="G27" s="71">
        <f>+Zal_1_WPF_wg_przeplywow!C36</f>
        <v>2167131.01</v>
      </c>
      <c r="H27" s="71">
        <f>+Zal_1_WPF_wg_przeplywow!D36</f>
        <v>0</v>
      </c>
      <c r="I27" s="71">
        <f>+Zal_1_WPF_wg_przeplywow!E36</f>
        <v>0</v>
      </c>
      <c r="J27" s="71">
        <f>+Zal_1_WPF_wg_przeplywow!F36</f>
        <v>0</v>
      </c>
    </row>
    <row r="28" spans="1:10" ht="12">
      <c r="A28" s="69"/>
      <c r="B28" s="72" t="s">
        <v>63</v>
      </c>
      <c r="C28" s="194">
        <v>0</v>
      </c>
      <c r="D28" s="194">
        <v>0</v>
      </c>
      <c r="E28" s="194">
        <v>1993800</v>
      </c>
      <c r="F28" s="194">
        <v>2024135.51</v>
      </c>
      <c r="G28" s="71">
        <f>+Zal_1_WPF_wg_przeplywow!C37</f>
        <v>761668</v>
      </c>
      <c r="H28" s="71">
        <f>+Zal_1_WPF_wg_przeplywow!D37</f>
        <v>0</v>
      </c>
      <c r="I28" s="71">
        <f>+Zal_1_WPF_wg_przeplywow!E37</f>
        <v>0</v>
      </c>
      <c r="J28" s="71">
        <f>+Zal_1_WPF_wg_przeplywow!F37</f>
        <v>0</v>
      </c>
    </row>
    <row r="29" spans="1:10" ht="12">
      <c r="A29" s="69"/>
      <c r="B29" s="70" t="s">
        <v>51</v>
      </c>
      <c r="C29" s="194">
        <v>0</v>
      </c>
      <c r="D29" s="194">
        <v>0</v>
      </c>
      <c r="E29" s="194">
        <v>21393.72</v>
      </c>
      <c r="F29" s="194">
        <v>21393.72</v>
      </c>
      <c r="G29" s="71">
        <f>+Zal_1_WPF_wg_przeplywow!C23</f>
        <v>0</v>
      </c>
      <c r="H29" s="71">
        <f>+Zal_1_WPF_wg_przeplywow!D23</f>
        <v>0</v>
      </c>
      <c r="I29" s="71">
        <f>+Zal_1_WPF_wg_przeplywow!E23</f>
        <v>0</v>
      </c>
      <c r="J29" s="71">
        <f>+Zal_1_WPF_wg_przeplywow!F23</f>
        <v>0</v>
      </c>
    </row>
    <row r="30" spans="1:10" ht="12">
      <c r="A30" s="83"/>
      <c r="B30" s="86" t="s">
        <v>63</v>
      </c>
      <c r="C30" s="195">
        <v>0</v>
      </c>
      <c r="D30" s="195">
        <v>0</v>
      </c>
      <c r="E30" s="195">
        <v>0</v>
      </c>
      <c r="F30" s="195">
        <v>0</v>
      </c>
      <c r="G30" s="85">
        <f>+Zal_1_WPF_wg_przeplywow!C24</f>
        <v>0</v>
      </c>
      <c r="H30" s="85">
        <f>+Zal_1_WPF_wg_przeplywow!D24</f>
        <v>0</v>
      </c>
      <c r="I30" s="85">
        <f>+Zal_1_WPF_wg_przeplywow!E24</f>
        <v>0</v>
      </c>
      <c r="J30" s="85">
        <f>+Zal_1_WPF_wg_przeplywow!F24</f>
        <v>0</v>
      </c>
    </row>
    <row r="31" spans="1:10" ht="12">
      <c r="A31" s="66" t="s">
        <v>10</v>
      </c>
      <c r="B31" s="67" t="s">
        <v>52</v>
      </c>
      <c r="C31" s="68">
        <f aca="true" t="shared" si="6" ref="C31:J31">+C32+C34</f>
        <v>237620</v>
      </c>
      <c r="D31" s="68">
        <f t="shared" si="6"/>
        <v>258997.72</v>
      </c>
      <c r="E31" s="68">
        <f t="shared" si="6"/>
        <v>645910</v>
      </c>
      <c r="F31" s="68">
        <v>601088.34</v>
      </c>
      <c r="G31" s="68">
        <f t="shared" si="6"/>
        <v>1405463.01</v>
      </c>
      <c r="H31" s="68">
        <f t="shared" si="6"/>
        <v>1904785.2</v>
      </c>
      <c r="I31" s="68">
        <f t="shared" si="6"/>
        <v>1120394.2</v>
      </c>
      <c r="J31" s="68">
        <f t="shared" si="6"/>
        <v>289487</v>
      </c>
    </row>
    <row r="32" spans="1:10" ht="12">
      <c r="A32" s="69"/>
      <c r="B32" s="70" t="s">
        <v>64</v>
      </c>
      <c r="C32" s="194">
        <v>237620</v>
      </c>
      <c r="D32" s="194">
        <v>237604</v>
      </c>
      <c r="E32" s="194">
        <v>645910</v>
      </c>
      <c r="F32" s="194">
        <v>601088.34</v>
      </c>
      <c r="G32" s="71">
        <f>+Zal_1_WPF_wg_przeplywow!C27</f>
        <v>1405463.01</v>
      </c>
      <c r="H32" s="71">
        <f>+Zal_1_WPF_wg_przeplywow!D27</f>
        <v>1904785.2</v>
      </c>
      <c r="I32" s="71">
        <f>+Zal_1_WPF_wg_przeplywow!E27</f>
        <v>1120394.2</v>
      </c>
      <c r="J32" s="71">
        <v>289487</v>
      </c>
    </row>
    <row r="33" spans="1:10" ht="24">
      <c r="A33" s="69"/>
      <c r="B33" s="72" t="s">
        <v>65</v>
      </c>
      <c r="C33" s="194">
        <v>0</v>
      </c>
      <c r="D33" s="194">
        <v>0</v>
      </c>
      <c r="E33" s="194">
        <v>552822</v>
      </c>
      <c r="F33" s="194">
        <v>552822</v>
      </c>
      <c r="G33" s="71">
        <f>+Zal_1_WPF_wg_przeplywow!C28</f>
        <v>595645.15</v>
      </c>
      <c r="H33" s="71">
        <v>582668</v>
      </c>
      <c r="I33" s="71">
        <f>+Zal_1_WPF_wg_przeplywow!E28</f>
        <v>0</v>
      </c>
      <c r="J33" s="71">
        <f>+Zal_1_WPF_wg_przeplywow!F28</f>
        <v>0</v>
      </c>
    </row>
    <row r="34" spans="1:10" ht="12.75" thickBot="1">
      <c r="A34" s="83"/>
      <c r="B34" s="84" t="s">
        <v>15</v>
      </c>
      <c r="C34" s="195">
        <v>0</v>
      </c>
      <c r="D34" s="195">
        <v>21393.72</v>
      </c>
      <c r="E34" s="195">
        <v>0</v>
      </c>
      <c r="F34" s="195">
        <v>0</v>
      </c>
      <c r="G34" s="88">
        <f>+Zal_1_WPF_wg_przeplywow!C31</f>
        <v>0</v>
      </c>
      <c r="H34" s="88">
        <f>+Zal_1_WPF_wg_przeplywow!D31</f>
        <v>0</v>
      </c>
      <c r="I34" s="88">
        <f>+Zal_1_WPF_wg_przeplywow!E31</f>
        <v>0</v>
      </c>
      <c r="J34" s="88">
        <f>+Zal_1_WPF_wg_przeplywow!F31</f>
        <v>0</v>
      </c>
    </row>
    <row r="35" spans="1:215" s="30" customFormat="1" ht="12">
      <c r="A35" s="66" t="s">
        <v>11</v>
      </c>
      <c r="B35" s="67" t="s">
        <v>66</v>
      </c>
      <c r="C35" s="196">
        <v>421055</v>
      </c>
      <c r="D35" s="196">
        <v>736273</v>
      </c>
      <c r="E35" s="196">
        <v>2700831.59</v>
      </c>
      <c r="F35" s="196">
        <v>2552998.4</v>
      </c>
      <c r="G35" s="68">
        <v>3314666.4</v>
      </c>
      <c r="H35" s="68">
        <v>1409881.2</v>
      </c>
      <c r="I35" s="68">
        <v>289487</v>
      </c>
      <c r="J35" s="68">
        <f>+Zal_1_WPF_wg_przeplywow!F39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</row>
    <row r="36" spans="1:10" s="4" customFormat="1" ht="24">
      <c r="A36" s="87"/>
      <c r="B36" s="84" t="s">
        <v>67</v>
      </c>
      <c r="C36" s="200">
        <v>0</v>
      </c>
      <c r="D36" s="200">
        <v>0</v>
      </c>
      <c r="E36" s="200">
        <v>0</v>
      </c>
      <c r="F36" s="200">
        <v>0</v>
      </c>
      <c r="G36" s="88">
        <f>+Zal_1_WPF_wg_przeplywow!C40</f>
        <v>0</v>
      </c>
      <c r="H36" s="88">
        <f>+Zal_1_WPF_wg_przeplywow!D40</f>
        <v>0</v>
      </c>
      <c r="I36" s="88">
        <f>+Zal_1_WPF_wg_przeplywow!E40</f>
        <v>0</v>
      </c>
      <c r="J36" s="88">
        <f>+Zal_1_WPF_wg_przeplywow!F40</f>
        <v>0</v>
      </c>
    </row>
    <row r="37" spans="1:10" s="201" customFormat="1" ht="12">
      <c r="A37" s="60" t="s">
        <v>14</v>
      </c>
      <c r="B37" s="61" t="s">
        <v>68</v>
      </c>
      <c r="C37" s="197">
        <v>0</v>
      </c>
      <c r="D37" s="197">
        <v>552822</v>
      </c>
      <c r="E37" s="197">
        <v>609300</v>
      </c>
      <c r="F37" s="197">
        <v>595645.15</v>
      </c>
      <c r="G37" s="56">
        <v>582668</v>
      </c>
      <c r="H37" s="56">
        <f>+Zal_1_WPF_wg_przeplywow!D41</f>
        <v>0</v>
      </c>
      <c r="I37" s="56">
        <f>+Zal_1_WPF_wg_przeplywow!E41</f>
        <v>0</v>
      </c>
      <c r="J37" s="56">
        <f>+Zal_1_WPF_wg_przeplywow!F41</f>
        <v>0</v>
      </c>
    </row>
    <row r="38" spans="1:10" ht="24">
      <c r="A38" s="66" t="s">
        <v>16</v>
      </c>
      <c r="B38" s="89" t="s">
        <v>69</v>
      </c>
      <c r="C38" s="205">
        <v>0.0422</v>
      </c>
      <c r="D38" s="205">
        <v>0.0158</v>
      </c>
      <c r="E38" s="205">
        <v>0.2388</v>
      </c>
      <c r="F38" s="205">
        <v>0.2388</v>
      </c>
      <c r="G38" s="90">
        <v>0.2576</v>
      </c>
      <c r="H38" s="90">
        <v>0.1034</v>
      </c>
      <c r="I38" s="90">
        <f>+IF(I6&lt;&gt;0,I35/I6,"")</f>
        <v>0.02078428106492095</v>
      </c>
      <c r="J38" s="90">
        <f>+IF(J6&lt;&gt;0,J35/J6,"")</f>
        <v>0</v>
      </c>
    </row>
    <row r="39" spans="1:10" ht="24">
      <c r="A39" s="74" t="s">
        <v>70</v>
      </c>
      <c r="B39" s="79" t="s">
        <v>71</v>
      </c>
      <c r="C39" s="204">
        <v>0.0422</v>
      </c>
      <c r="D39" s="204">
        <v>0.0158</v>
      </c>
      <c r="E39" s="204">
        <v>0.1849</v>
      </c>
      <c r="F39" s="204">
        <v>0.1849</v>
      </c>
      <c r="G39" s="80">
        <f>+Zal_1_WPF_wg_przeplywow!C47</f>
        <v>0.2123</v>
      </c>
      <c r="H39" s="80">
        <v>0.1034</v>
      </c>
      <c r="I39" s="80">
        <f>+IF(I6&lt;&gt;0,(I35-I37)/I6,"")</f>
        <v>0.02078428106492095</v>
      </c>
      <c r="J39" s="80">
        <f>+IF(J6&lt;&gt;0,(J35-J37)/J6,"")</f>
        <v>0</v>
      </c>
    </row>
    <row r="40" spans="1:10" ht="24">
      <c r="A40" s="74" t="s">
        <v>17</v>
      </c>
      <c r="B40" s="79" t="s">
        <v>72</v>
      </c>
      <c r="C40" s="204">
        <v>0.0238</v>
      </c>
      <c r="D40" s="204">
        <v>0.0238</v>
      </c>
      <c r="E40" s="204">
        <v>0.0602</v>
      </c>
      <c r="F40" s="204">
        <v>0.0602</v>
      </c>
      <c r="G40" s="80">
        <f>+Zal_1_WPF_wg_przeplywow!C48</f>
        <v>0.117</v>
      </c>
      <c r="H40" s="80">
        <v>0.1506</v>
      </c>
      <c r="I40" s="80">
        <f>+IF(I6&lt;&gt;0,(I19+I16+I32)/I6,"")</f>
        <v>0.086184631577587</v>
      </c>
      <c r="J40" s="80">
        <f>+IF(J6&lt;&gt;0,(J19+J16+J32)/J6,"")</f>
        <v>0.024477110863222927</v>
      </c>
    </row>
    <row r="41" spans="1:10" ht="24">
      <c r="A41" s="87" t="s">
        <v>73</v>
      </c>
      <c r="B41" s="91" t="s">
        <v>74</v>
      </c>
      <c r="C41" s="206">
        <v>0.0204</v>
      </c>
      <c r="D41" s="206">
        <v>0.0204</v>
      </c>
      <c r="E41" s="206">
        <v>0.0113</v>
      </c>
      <c r="F41" s="206">
        <v>0.0113</v>
      </c>
      <c r="G41" s="92">
        <f>+Zal_1_WPF_wg_przeplywow!C49</f>
        <v>0.0707</v>
      </c>
      <c r="H41" s="92">
        <v>0.1079</v>
      </c>
      <c r="I41" s="92">
        <f>+IF(I6&lt;&gt;0,(I19+I16+I32-I17-I33)/I6,"")</f>
        <v>0.086184631577587</v>
      </c>
      <c r="J41" s="92">
        <f>+IF(J6&lt;&gt;0,(J19+J16+J32-J17-J33)/J6,"")</f>
        <v>0.024477110863222927</v>
      </c>
    </row>
    <row r="42" spans="1:10" ht="36">
      <c r="A42" s="60" t="s">
        <v>19</v>
      </c>
      <c r="B42" s="61" t="s">
        <v>167</v>
      </c>
      <c r="C42" s="207">
        <v>0</v>
      </c>
      <c r="D42" s="207">
        <v>0</v>
      </c>
      <c r="E42" s="207">
        <v>0</v>
      </c>
      <c r="F42" s="207">
        <v>0</v>
      </c>
      <c r="G42" s="56">
        <f>+Zal_1_WPF_wg_przeplywow!C42</f>
        <v>0</v>
      </c>
      <c r="H42" s="56">
        <f>+Zal_1_WPF_wg_przeplywow!D42</f>
        <v>0</v>
      </c>
      <c r="I42" s="56">
        <f>+Zal_1_WPF_wg_przeplywow!E42</f>
        <v>0</v>
      </c>
      <c r="J42" s="56">
        <f>+Zal_1_WPF_wg_przeplywow!F42</f>
        <v>0</v>
      </c>
    </row>
    <row r="43" spans="1:10" ht="12">
      <c r="A43" s="66" t="s">
        <v>20</v>
      </c>
      <c r="B43" s="89" t="s">
        <v>53</v>
      </c>
      <c r="C43" s="205">
        <v>0.1313</v>
      </c>
      <c r="D43" s="205">
        <v>0.1266</v>
      </c>
      <c r="E43" s="205">
        <v>0.0548</v>
      </c>
      <c r="F43" s="205">
        <v>0.0548</v>
      </c>
      <c r="G43" s="90">
        <f>+Zal_1_WPF_wg_przeplywow!C51</f>
        <v>0.1042</v>
      </c>
      <c r="H43" s="90">
        <f>+Zal_1_WPF_wg_przeplywow!D51</f>
        <v>0.1466</v>
      </c>
      <c r="I43" s="90">
        <f>+Zal_1_WPF_wg_przeplywow!E51</f>
        <v>0.1889</v>
      </c>
      <c r="J43" s="90">
        <f>+Zal_1_WPF_wg_przeplywow!F51</f>
        <v>0.2532</v>
      </c>
    </row>
    <row r="44" spans="1:10" ht="12">
      <c r="A44" s="74"/>
      <c r="B44" s="81" t="s">
        <v>55</v>
      </c>
      <c r="C44" s="208">
        <v>0.1313</v>
      </c>
      <c r="D44" s="208">
        <v>0.1266</v>
      </c>
      <c r="E44" s="208">
        <v>0.0548</v>
      </c>
      <c r="F44" s="208">
        <v>0.0548</v>
      </c>
      <c r="G44" s="80">
        <f>+Zal_1_WPF_wg_przeplywow!C50</f>
        <v>0.2584</v>
      </c>
      <c r="H44" s="80">
        <f>+Zal_1_WPF_wg_przeplywow!D50</f>
        <v>0.2535</v>
      </c>
      <c r="I44" s="80">
        <f>+Zal_1_WPF_wg_przeplywow!E50</f>
        <v>0.2476</v>
      </c>
      <c r="J44" s="80">
        <f>+Zal_1_WPF_wg_przeplywow!F50</f>
        <v>0.2898</v>
      </c>
    </row>
    <row r="45" spans="1:10" ht="24">
      <c r="A45" s="74" t="s">
        <v>21</v>
      </c>
      <c r="B45" s="79" t="s">
        <v>54</v>
      </c>
      <c r="C45" s="204">
        <v>0.0238</v>
      </c>
      <c r="D45" s="204">
        <v>0.0204</v>
      </c>
      <c r="E45" s="204">
        <v>0.0602</v>
      </c>
      <c r="F45" s="204">
        <v>0.0602</v>
      </c>
      <c r="G45" s="80">
        <f>+Zal_1_WPF_wg_przeplywow!C52</f>
        <v>0.117</v>
      </c>
      <c r="H45" s="80">
        <f>+Zal_1_WPF_wg_przeplywow!D52</f>
        <v>0.1506</v>
      </c>
      <c r="I45" s="80">
        <f>+Zal_1_WPF_wg_przeplywow!E52</f>
        <v>0.0862</v>
      </c>
      <c r="J45" s="80">
        <f>+Zal_1_WPF_wg_przeplywow!F52</f>
        <v>0.0382</v>
      </c>
    </row>
    <row r="46" spans="1:10" ht="24">
      <c r="A46" s="74" t="s">
        <v>75</v>
      </c>
      <c r="B46" s="79" t="s">
        <v>76</v>
      </c>
      <c r="C46" s="82" t="str">
        <f aca="true" t="shared" si="7" ref="C46:J46">IF(C45&lt;=C$43,"Spełnia  art. 243","Nie spełnia art. 243")</f>
        <v>Spełnia  art. 243</v>
      </c>
      <c r="D46" s="82" t="str">
        <f t="shared" si="7"/>
        <v>Spełnia  art. 243</v>
      </c>
      <c r="E46" s="82" t="s">
        <v>222</v>
      </c>
      <c r="F46" s="82" t="s">
        <v>222</v>
      </c>
      <c r="G46" s="82" t="str">
        <f t="shared" si="7"/>
        <v>Nie spełnia art. 243</v>
      </c>
      <c r="H46" s="82" t="str">
        <f t="shared" si="7"/>
        <v>Nie spełnia art. 243</v>
      </c>
      <c r="I46" s="82" t="str">
        <f t="shared" si="7"/>
        <v>Spełnia  art. 243</v>
      </c>
      <c r="J46" s="82" t="str">
        <f t="shared" si="7"/>
        <v>Spełnia  art. 243</v>
      </c>
    </row>
    <row r="47" spans="1:10" ht="24">
      <c r="A47" s="74" t="s">
        <v>22</v>
      </c>
      <c r="B47" s="79" t="s">
        <v>77</v>
      </c>
      <c r="C47" s="204">
        <v>0.0238</v>
      </c>
      <c r="D47" s="204">
        <v>0.0204</v>
      </c>
      <c r="E47" s="204">
        <v>0.0113</v>
      </c>
      <c r="F47" s="204">
        <v>0.0113</v>
      </c>
      <c r="G47" s="80">
        <f>+Zal_1_WPF_wg_przeplywow!C54</f>
        <v>0.0707</v>
      </c>
      <c r="H47" s="80">
        <f>+Zal_1_WPF_wg_przeplywow!D54</f>
        <v>0.0948</v>
      </c>
      <c r="I47" s="80">
        <f>+Zal_1_WPF_wg_przeplywow!E54</f>
        <v>0.0862</v>
      </c>
      <c r="J47" s="80">
        <f>+Zal_1_WPF_wg_przeplywow!F54</f>
        <v>0.0382</v>
      </c>
    </row>
    <row r="48" spans="1:10" ht="24">
      <c r="A48" s="87" t="s">
        <v>78</v>
      </c>
      <c r="B48" s="91" t="s">
        <v>79</v>
      </c>
      <c r="C48" s="82" t="str">
        <f aca="true" t="shared" si="8" ref="C48:J48">IF(C47&lt;=C$43,"Spełnia  art. 243","Nie spełnia art. 243")</f>
        <v>Spełnia  art. 243</v>
      </c>
      <c r="D48" s="82" t="str">
        <f t="shared" si="8"/>
        <v>Spełnia  art. 243</v>
      </c>
      <c r="E48" s="82" t="s">
        <v>222</v>
      </c>
      <c r="F48" s="82" t="s">
        <v>222</v>
      </c>
      <c r="G48" s="82" t="str">
        <f t="shared" si="8"/>
        <v>Spełnia  art. 243</v>
      </c>
      <c r="H48" s="82" t="str">
        <f t="shared" si="8"/>
        <v>Spełnia  art. 243</v>
      </c>
      <c r="I48" s="82" t="str">
        <f t="shared" si="8"/>
        <v>Spełnia  art. 243</v>
      </c>
      <c r="J48" s="82" t="str">
        <f t="shared" si="8"/>
        <v>Spełnia  art. 243</v>
      </c>
    </row>
    <row r="49" spans="1:10" ht="12">
      <c r="A49" s="66" t="s">
        <v>23</v>
      </c>
      <c r="B49" s="67" t="s">
        <v>80</v>
      </c>
      <c r="C49" s="67"/>
      <c r="D49" s="67"/>
      <c r="E49" s="67"/>
      <c r="F49" s="67"/>
      <c r="G49" s="93"/>
      <c r="H49" s="93"/>
      <c r="I49" s="93"/>
      <c r="J49" s="93"/>
    </row>
    <row r="50" spans="1:10" ht="12">
      <c r="A50" s="69"/>
      <c r="B50" s="70" t="s">
        <v>4</v>
      </c>
      <c r="C50" s="194">
        <v>4056561.47</v>
      </c>
      <c r="D50" s="194">
        <v>4218869.37</v>
      </c>
      <c r="E50" s="194">
        <v>4574880.41</v>
      </c>
      <c r="F50" s="194">
        <v>4574880.41</v>
      </c>
      <c r="G50" s="71">
        <v>4184745</v>
      </c>
      <c r="H50" s="71">
        <f>+Zal_1_WPF_wg_przeplywow!D14</f>
        <v>4299058</v>
      </c>
      <c r="I50" s="71">
        <f>+Zal_1_WPF_wg_przeplywow!E14</f>
        <v>4363544</v>
      </c>
      <c r="J50" s="71">
        <f>+Zal_1_WPF_wg_przeplywow!F14</f>
        <v>4494450.32</v>
      </c>
    </row>
    <row r="51" spans="1:10" ht="12">
      <c r="A51" s="69"/>
      <c r="B51" s="70" t="s">
        <v>5</v>
      </c>
      <c r="C51" s="194">
        <v>396716.15</v>
      </c>
      <c r="D51" s="194">
        <v>1320339</v>
      </c>
      <c r="E51" s="194">
        <v>1456716</v>
      </c>
      <c r="F51" s="194">
        <v>1456716</v>
      </c>
      <c r="G51" s="71">
        <f>+Zal_1_WPF_wg_przeplywow!C15</f>
        <v>1489370</v>
      </c>
      <c r="H51" s="71">
        <f>+Zal_1_WPF_wg_przeplywow!D15</f>
        <v>1526604</v>
      </c>
      <c r="I51" s="71">
        <f>+Zal_1_WPF_wg_przeplywow!E15</f>
        <v>1549503</v>
      </c>
      <c r="J51" s="71">
        <f>+Zal_1_WPF_wg_przeplywow!F15</f>
        <v>1595988</v>
      </c>
    </row>
    <row r="52" spans="1:10" ht="12">
      <c r="A52" s="69"/>
      <c r="B52" s="70" t="s">
        <v>81</v>
      </c>
      <c r="C52" s="194">
        <v>0</v>
      </c>
      <c r="D52" s="194">
        <v>0</v>
      </c>
      <c r="E52" s="194">
        <v>0</v>
      </c>
      <c r="F52" s="194">
        <v>0</v>
      </c>
      <c r="G52" s="71">
        <f>+Zal_1_WPF_wg_przeplywow!C18</f>
        <v>0</v>
      </c>
      <c r="H52" s="71">
        <f>+Zal_1_WPF_wg_przeplywow!D18</f>
        <v>0</v>
      </c>
      <c r="I52" s="71">
        <f>+Zal_1_WPF_wg_przeplywow!E18</f>
        <v>0</v>
      </c>
      <c r="J52" s="71">
        <f>+Zal_1_WPF_wg_przeplywow!F18</f>
        <v>0</v>
      </c>
    </row>
    <row r="53" spans="1:10" ht="12">
      <c r="A53" s="83"/>
      <c r="B53" s="84" t="s">
        <v>82</v>
      </c>
      <c r="C53" s="195">
        <v>0</v>
      </c>
      <c r="D53" s="195">
        <v>1891873</v>
      </c>
      <c r="E53" s="195">
        <v>1530217</v>
      </c>
      <c r="F53" s="195">
        <v>1360037</v>
      </c>
      <c r="G53" s="85">
        <f>+Zal_1_WPF_wg_przeplywow!C34</f>
        <v>2100000</v>
      </c>
      <c r="H53" s="85">
        <v>2419988</v>
      </c>
      <c r="I53" s="85">
        <f>+Zal_1_WPF_wg_przeplywow!E34</f>
        <v>0</v>
      </c>
      <c r="J53" s="85">
        <f>+Zal_1_WPF_wg_przeplywow!F34</f>
        <v>0</v>
      </c>
    </row>
    <row r="54" spans="1:10" ht="24">
      <c r="A54" s="64" t="s">
        <v>24</v>
      </c>
      <c r="B54" s="65" t="s">
        <v>162</v>
      </c>
      <c r="C54" s="210">
        <v>0</v>
      </c>
      <c r="D54" s="210">
        <v>0</v>
      </c>
      <c r="E54" s="210">
        <v>0</v>
      </c>
      <c r="F54" s="210">
        <v>0</v>
      </c>
      <c r="G54" s="56">
        <f>+Zal_1_WPF_wg_przeplywow!C43</f>
        <v>0</v>
      </c>
      <c r="H54" s="56">
        <f>+Zal_1_WPF_wg_przeplywow!D43</f>
        <v>1904785.2</v>
      </c>
      <c r="I54" s="56">
        <f>+Zal_1_WPF_wg_przeplywow!E43</f>
        <v>1120394.2</v>
      </c>
      <c r="J54" s="56">
        <v>289487</v>
      </c>
    </row>
    <row r="55" spans="1:10" ht="12">
      <c r="A55" s="66" t="s">
        <v>25</v>
      </c>
      <c r="B55" s="67" t="s">
        <v>91</v>
      </c>
      <c r="C55" s="202">
        <v>0</v>
      </c>
      <c r="D55" s="202">
        <v>0</v>
      </c>
      <c r="E55" s="202">
        <v>0</v>
      </c>
      <c r="F55" s="202">
        <v>0</v>
      </c>
      <c r="G55" s="94">
        <f>+Zal_1_WPF_wg_przeplywow!C44</f>
        <v>0</v>
      </c>
      <c r="H55" s="94">
        <f>+Zal_1_WPF_wg_przeplywow!D44</f>
        <v>0</v>
      </c>
      <c r="I55" s="94">
        <f>+Zal_1_WPF_wg_przeplywow!E44</f>
        <v>0</v>
      </c>
      <c r="J55" s="94">
        <f>+Zal_1_WPF_wg_przeplywow!F44</f>
        <v>0</v>
      </c>
    </row>
    <row r="56" spans="1:10" ht="24">
      <c r="A56" s="83"/>
      <c r="B56" s="84" t="s">
        <v>92</v>
      </c>
      <c r="C56" s="203">
        <v>0</v>
      </c>
      <c r="D56" s="203">
        <v>0</v>
      </c>
      <c r="E56" s="203">
        <v>0</v>
      </c>
      <c r="F56" s="203">
        <v>0</v>
      </c>
      <c r="G56" s="85">
        <f>+Zal_1_WPF_wg_przeplywow!C45</f>
        <v>0</v>
      </c>
      <c r="H56" s="85">
        <f>+Zal_1_WPF_wg_przeplywow!D45</f>
        <v>0</v>
      </c>
      <c r="I56" s="85">
        <f>+Zal_1_WPF_wg_przeplywow!E45</f>
        <v>0</v>
      </c>
      <c r="J56" s="85">
        <f>+Zal_1_WPF_wg_przeplywow!F45</f>
        <v>0</v>
      </c>
    </row>
    <row r="57" spans="1:10" s="4" customFormat="1" ht="12">
      <c r="A57" s="31"/>
      <c r="B57" s="32"/>
      <c r="C57" s="32"/>
      <c r="D57" s="32"/>
      <c r="E57" s="32"/>
      <c r="F57" s="32"/>
      <c r="G57" s="33"/>
      <c r="H57" s="33"/>
      <c r="I57" s="33"/>
      <c r="J57" s="33"/>
    </row>
    <row r="58" spans="1:10" s="4" customFormat="1" ht="12">
      <c r="A58" s="31"/>
      <c r="B58" s="45" t="s">
        <v>88</v>
      </c>
      <c r="C58" s="45"/>
      <c r="D58" s="45"/>
      <c r="E58" s="45"/>
      <c r="F58" s="45"/>
      <c r="G58" s="33"/>
      <c r="H58" s="33"/>
      <c r="I58" s="33"/>
      <c r="J58" s="33"/>
    </row>
    <row r="59" spans="2:6" ht="12">
      <c r="B59" s="45" t="s">
        <v>163</v>
      </c>
      <c r="C59" s="45"/>
      <c r="D59" s="45"/>
      <c r="E59" s="45"/>
      <c r="F59" s="45"/>
    </row>
    <row r="60" spans="2:6" ht="12">
      <c r="B60" s="45"/>
      <c r="C60" s="45"/>
      <c r="D60" s="45"/>
      <c r="E60" s="45"/>
      <c r="F60" s="45"/>
    </row>
    <row r="62" spans="2:6" ht="12">
      <c r="B62" s="22" t="s">
        <v>182</v>
      </c>
      <c r="C62" s="179"/>
      <c r="D62" s="179"/>
      <c r="E62" s="179"/>
      <c r="F62" s="179"/>
    </row>
    <row r="63" spans="2:6" ht="12">
      <c r="B63" s="163" t="s">
        <v>188</v>
      </c>
      <c r="C63" s="181"/>
      <c r="D63" s="181"/>
      <c r="E63" s="181"/>
      <c r="F63" s="181"/>
    </row>
    <row r="64" spans="2:6" ht="12">
      <c r="B64" s="162" t="s">
        <v>189</v>
      </c>
      <c r="C64" s="182"/>
      <c r="D64" s="182"/>
      <c r="E64" s="182"/>
      <c r="F64" s="182"/>
    </row>
    <row r="66" spans="2:10" ht="22.5">
      <c r="B66" s="164" t="s">
        <v>169</v>
      </c>
      <c r="C66" s="183"/>
      <c r="D66" s="183"/>
      <c r="E66" s="183"/>
      <c r="F66" s="183"/>
      <c r="G66" s="165" t="str">
        <f>IF(((G6+G24)-(G12+G31))=0,"OK.",+(G6+G24)-(G12+G31))</f>
        <v>OK.</v>
      </c>
      <c r="H66" s="165" t="str">
        <f>IF(((H6+H24)-(H12+H31))=0,"OK.",+(H6+H24)-(H12+H31))</f>
        <v>OK.</v>
      </c>
      <c r="I66" s="165" t="str">
        <f>IF(((I6+I24)-(I12+I31))=0,"OK.",+(I6+I24)-(I12+I31))</f>
        <v>OK.</v>
      </c>
      <c r="J66" s="165" t="str">
        <f>IF(((J6+J24)-(J12+J31))=0,"OK.",+(J6+J24)-(J12+J31))</f>
        <v>OK.</v>
      </c>
    </row>
    <row r="67" spans="2:10" ht="12">
      <c r="B67" s="166"/>
      <c r="C67" s="184"/>
      <c r="D67" s="184"/>
      <c r="E67" s="184"/>
      <c r="F67" s="184"/>
      <c r="G67" s="167"/>
      <c r="H67" s="167"/>
      <c r="I67" s="167"/>
      <c r="J67" s="167"/>
    </row>
    <row r="68" spans="2:10" ht="22.5">
      <c r="B68" s="168" t="s">
        <v>190</v>
      </c>
      <c r="C68" s="185"/>
      <c r="D68" s="185"/>
      <c r="E68" s="185"/>
      <c r="F68" s="185"/>
      <c r="G68" s="167" t="str">
        <f>+IF(G22&gt;0,IF((G30+G28+G26)&gt;0,"Błąd","OK."),"nie dotyczy")</f>
        <v>nie dotyczy</v>
      </c>
      <c r="H68" s="167" t="str">
        <f>+IF(H22&gt;0,IF((H30+H28+H26)&gt;0,"Błąd","OK."),"nie dotyczy")</f>
        <v>OK.</v>
      </c>
      <c r="I68" s="167" t="str">
        <f>+IF(I22&gt;0,IF((I30+I28+I26)&gt;0,"Błąd","OK."),"nie dotyczy")</f>
        <v>OK.</v>
      </c>
      <c r="J68" s="167" t="str">
        <f>+IF(J22&gt;0,IF((J30+J28+J26)&gt;0,"Błąd","OK."),"nie dotyczy")</f>
        <v>OK.</v>
      </c>
    </row>
    <row r="69" spans="2:10" ht="22.5">
      <c r="B69" s="168" t="s">
        <v>173</v>
      </c>
      <c r="C69" s="185"/>
      <c r="D69" s="185"/>
      <c r="E69" s="185"/>
      <c r="F69" s="185"/>
      <c r="G69" s="167" t="str">
        <f>IF(G22&lt;=0,IF(ROUND((+G22+(G26+G28+G30)),4)=0,"OK.",+G22+(G26+G28+G30)),"nie dotyczy")</f>
        <v>OK.</v>
      </c>
      <c r="H69" s="167" t="str">
        <f>IF(H22&lt;=0,IF(ROUND((+H22+(H26+H28+H30)),4)=0,"OK.",+H22+(H26+H28+H30)),"nie dotyczy")</f>
        <v>nie dotyczy</v>
      </c>
      <c r="I69" s="167" t="str">
        <f>IF(I22&lt;=0,IF(ROUND((+I22+(I26+I28+I30)),4)=0,"OK.",+I22+(I26+I28+I30)),"nie dotyczy")</f>
        <v>nie dotyczy</v>
      </c>
      <c r="J69" s="167" t="str">
        <f>IF(J22&lt;=0,IF(ROUND((+J22+(J26+J28+J30)),4)=0,"OK.",+J22+(J26+J28+J30)),"nie dotyczy")</f>
        <v>nie dotyczy</v>
      </c>
    </row>
    <row r="70" spans="2:10" ht="24">
      <c r="B70" s="169" t="s">
        <v>170</v>
      </c>
      <c r="C70" s="186"/>
      <c r="D70" s="186"/>
      <c r="E70" s="186"/>
      <c r="F70" s="186"/>
      <c r="G70" s="170"/>
      <c r="H70" s="170"/>
      <c r="I70" s="170"/>
      <c r="J70" s="170"/>
    </row>
    <row r="71" spans="2:10" ht="12">
      <c r="B71" s="171" t="s">
        <v>192</v>
      </c>
      <c r="C71" s="187"/>
      <c r="D71" s="187"/>
      <c r="E71" s="187"/>
      <c r="F71" s="187"/>
      <c r="G71" s="170" t="str">
        <f>+IF(G25&lt;G26,"Brak pokrycia","OK.")</f>
        <v>OK.</v>
      </c>
      <c r="H71" s="170" t="str">
        <f>+IF(H25&lt;H26,"Brak pokrycia","OK.")</f>
        <v>OK.</v>
      </c>
      <c r="I71" s="170" t="str">
        <f>+IF(I25&lt;I26,"Brak pokrycia","OK.")</f>
        <v>OK.</v>
      </c>
      <c r="J71" s="170" t="str">
        <f>+IF(J25&lt;J26,"Brak pokrycia","OK.")</f>
        <v>OK.</v>
      </c>
    </row>
    <row r="72" spans="2:10" ht="12">
      <c r="B72" s="171" t="s">
        <v>172</v>
      </c>
      <c r="C72" s="187"/>
      <c r="D72" s="187"/>
      <c r="E72" s="187"/>
      <c r="F72" s="187"/>
      <c r="G72" s="170" t="str">
        <f>+IF(G27&lt;G28,"Brak pokrycia","OK.")</f>
        <v>OK.</v>
      </c>
      <c r="H72" s="170" t="str">
        <f>+IF(H27&lt;H28,"Brak pokrycia","OK.")</f>
        <v>OK.</v>
      </c>
      <c r="I72" s="170" t="str">
        <f>+IF(I27&lt;I28,"Brak pokrycia","OK.")</f>
        <v>OK.</v>
      </c>
      <c r="J72" s="170" t="str">
        <f>+IF(J27&lt;J28,"Brak pokrycia","OK.")</f>
        <v>OK.</v>
      </c>
    </row>
    <row r="73" spans="2:10" ht="12">
      <c r="B73" s="171" t="s">
        <v>171</v>
      </c>
      <c r="C73" s="187"/>
      <c r="D73" s="187"/>
      <c r="E73" s="187"/>
      <c r="F73" s="187"/>
      <c r="G73" s="170" t="str">
        <f>+IF(G29&lt;G30,"Brak pokrycia","OK.")</f>
        <v>OK.</v>
      </c>
      <c r="H73" s="170" t="str">
        <f>+IF(H29&lt;H30,"Brak pokrycia","OK.")</f>
        <v>OK.</v>
      </c>
      <c r="I73" s="170" t="str">
        <f>+IF(I29&lt;I30,"Brak pokrycia","OK.")</f>
        <v>OK.</v>
      </c>
      <c r="J73" s="170" t="str">
        <f>+IF(J29&lt;J30,"Brak pokrycia","OK.")</f>
        <v>OK.</v>
      </c>
    </row>
    <row r="74" spans="2:10" ht="12">
      <c r="B74" s="172"/>
      <c r="C74" s="188"/>
      <c r="D74" s="188"/>
      <c r="E74" s="188"/>
      <c r="F74" s="188"/>
      <c r="G74" s="170"/>
      <c r="H74" s="170"/>
      <c r="I74" s="170"/>
      <c r="J74" s="170"/>
    </row>
    <row r="75" spans="2:10" ht="33.75">
      <c r="B75" s="168" t="s">
        <v>174</v>
      </c>
      <c r="C75" s="185"/>
      <c r="D75" s="185"/>
      <c r="E75" s="185"/>
      <c r="F75" s="185"/>
      <c r="G75" s="173" t="s">
        <v>168</v>
      </c>
      <c r="H75" s="167" t="str">
        <f>+IF(ROUND(G35+H27-H32-H35,4)=0,"OK.",ROUND(H35-(G35+H27-H32),4))</f>
        <v>OK.</v>
      </c>
      <c r="I75" s="167" t="str">
        <f>+IF(ROUND(H35+I27-I32-I35,4)=0,"OK.",ROUND(I35-(H35+I27-I32),4))</f>
        <v>OK.</v>
      </c>
      <c r="J75" s="167" t="str">
        <f>+IF(ROUND(I35+J27-J32-J35,4)=0,"OK.",ROUND(J35-(I35+J27-J32),4))</f>
        <v>OK.</v>
      </c>
    </row>
    <row r="76" spans="2:10" ht="22.5">
      <c r="B76" s="174" t="s">
        <v>181</v>
      </c>
      <c r="C76" s="189"/>
      <c r="D76" s="189"/>
      <c r="E76" s="189"/>
      <c r="F76" s="189"/>
      <c r="G76" s="170" t="str">
        <f>+IF(G35&lt;G37,"Za wysoka","OK.")</f>
        <v>OK.</v>
      </c>
      <c r="H76" s="170" t="str">
        <f>+IF(H35&lt;H37,"Za wysoka","OK.")</f>
        <v>OK.</v>
      </c>
      <c r="I76" s="170" t="str">
        <f>+IF(I35&lt;I37,"Za wysoka","OK.")</f>
        <v>OK.</v>
      </c>
      <c r="J76" s="170" t="str">
        <f>+IF(J35&lt;J37,"Za wysoka","OK.")</f>
        <v>OK.</v>
      </c>
    </row>
    <row r="77" spans="2:10" ht="22.5">
      <c r="B77" s="174" t="s">
        <v>176</v>
      </c>
      <c r="C77" s="189"/>
      <c r="D77" s="189"/>
      <c r="E77" s="189"/>
      <c r="F77" s="189"/>
      <c r="G77" s="167" t="str">
        <f>+IF(G32&lt;G33,"Za wysoka","OK.")</f>
        <v>OK.</v>
      </c>
      <c r="H77" s="167" t="str">
        <f>+IF(H32&lt;H33,"Za wysoka","OK.")</f>
        <v>OK.</v>
      </c>
      <c r="I77" s="167" t="str">
        <f>+IF(I32&lt;I33,"Za wysoka","OK.")</f>
        <v>OK.</v>
      </c>
      <c r="J77" s="167" t="str">
        <f>+IF(J32&lt;J33,"Za wysoka","OK.")</f>
        <v>OK.</v>
      </c>
    </row>
    <row r="78" spans="2:10" ht="22.5">
      <c r="B78" s="174" t="s">
        <v>175</v>
      </c>
      <c r="C78" s="189"/>
      <c r="D78" s="189"/>
      <c r="E78" s="189"/>
      <c r="F78" s="189"/>
      <c r="G78" s="170" t="str">
        <f>+IF(G16&lt;G17,"Za wysoka","OK.")</f>
        <v>OK.</v>
      </c>
      <c r="H78" s="170" t="str">
        <f>+IF(H16&lt;H17,"Za wysoka","OK.")</f>
        <v>OK.</v>
      </c>
      <c r="I78" s="170" t="str">
        <f>+IF(I16&lt;I17,"Za wysoka","OK.")</f>
        <v>OK.</v>
      </c>
      <c r="J78" s="170" t="str">
        <f>+IF(J16&lt;J17,"Za wysoka","OK.")</f>
        <v>OK.</v>
      </c>
    </row>
    <row r="79" spans="2:10" ht="22.5">
      <c r="B79" s="174" t="s">
        <v>180</v>
      </c>
      <c r="C79" s="189"/>
      <c r="D79" s="189"/>
      <c r="E79" s="189"/>
      <c r="F79" s="189"/>
      <c r="G79" s="170" t="str">
        <f>+IF(G35&lt;G36,"Za wysoka","OK.")</f>
        <v>OK.</v>
      </c>
      <c r="H79" s="170" t="str">
        <f>+IF(H35&lt;H36,"Za wysoka","OK.")</f>
        <v>OK.</v>
      </c>
      <c r="I79" s="170" t="str">
        <f>+IF(I35&lt;I36,"Za wysoka","OK.")</f>
        <v>OK.</v>
      </c>
      <c r="J79" s="170" t="str">
        <f>+IF(J35&lt;J36,"Za wysoka","OK.")</f>
        <v>OK.</v>
      </c>
    </row>
    <row r="80" spans="2:10" ht="22.5">
      <c r="B80" s="174" t="s">
        <v>186</v>
      </c>
      <c r="C80" s="189"/>
      <c r="D80" s="189"/>
      <c r="E80" s="189"/>
      <c r="F80" s="189"/>
      <c r="G80" s="170" t="str">
        <f>+IF(G35&lt;G55,"Za wysoka","OK.")</f>
        <v>OK.</v>
      </c>
      <c r="H80" s="170" t="str">
        <f>+IF(H35&lt;H55,"Za wysoka","OK.")</f>
        <v>OK.</v>
      </c>
      <c r="I80" s="170" t="str">
        <f>+IF(I35&lt;I55,"Za wysoka","OK.")</f>
        <v>OK.</v>
      </c>
      <c r="J80" s="170" t="str">
        <f>+IF(J35&lt;J55,"Za wysoka","OK.")</f>
        <v>OK.</v>
      </c>
    </row>
    <row r="81" spans="2:10" ht="22.5">
      <c r="B81" s="174" t="s">
        <v>187</v>
      </c>
      <c r="C81" s="189"/>
      <c r="D81" s="189"/>
      <c r="E81" s="189"/>
      <c r="F81" s="189"/>
      <c r="G81" s="170" t="str">
        <f>+IF(G55&lt;G56,"Za wysoka","OK.")</f>
        <v>OK.</v>
      </c>
      <c r="H81" s="170" t="str">
        <f>+IF(H55&lt;H56,"Za wysoka","OK.")</f>
        <v>OK.</v>
      </c>
      <c r="I81" s="170" t="str">
        <f>+IF(I55&lt;I56,"Za wysoka","OK.")</f>
        <v>OK.</v>
      </c>
      <c r="J81" s="170" t="str">
        <f>+IF(J55&lt;J56,"Za wysoka","OK.")</f>
        <v>OK.</v>
      </c>
    </row>
    <row r="82" spans="2:10" ht="12">
      <c r="B82" s="175"/>
      <c r="C82" s="190"/>
      <c r="D82" s="190"/>
      <c r="E82" s="190"/>
      <c r="F82" s="190"/>
      <c r="G82" s="175"/>
      <c r="H82" s="175"/>
      <c r="I82" s="175"/>
      <c r="J82" s="175"/>
    </row>
    <row r="83" spans="2:10" ht="22.5">
      <c r="B83" s="174" t="s">
        <v>177</v>
      </c>
      <c r="C83" s="189"/>
      <c r="D83" s="189"/>
      <c r="E83" s="189"/>
      <c r="F83" s="189"/>
      <c r="G83" s="170" t="str">
        <f>+IF(ROUND((G14-(G15+G16+G18)),4)&gt;0,"OK.","Błąd")</f>
        <v>OK.</v>
      </c>
      <c r="H83" s="170" t="str">
        <f>+IF(ROUND((H14-(H15+H16+H18)),4)&gt;0,"OK.","Błąd")</f>
        <v>OK.</v>
      </c>
      <c r="I83" s="170" t="str">
        <f>+IF(ROUND((I14-(I15+I16+I18)),4)&gt;0,"OK.","Błąd")</f>
        <v>OK.</v>
      </c>
      <c r="J83" s="170" t="str">
        <f>+IF(ROUND((J14-(J15+J16+J18)),4)&gt;0,"OK.","Błąd")</f>
        <v>OK.</v>
      </c>
    </row>
    <row r="84" spans="2:10" ht="22.5">
      <c r="B84" s="174" t="s">
        <v>178</v>
      </c>
      <c r="C84" s="189"/>
      <c r="D84" s="189"/>
      <c r="E84" s="189"/>
      <c r="F84" s="189"/>
      <c r="G84" s="170" t="str">
        <f>+IF(G18&lt;G19,"Za wysokie","OK.")</f>
        <v>OK.</v>
      </c>
      <c r="H84" s="170" t="str">
        <f>+IF(H18&lt;H19,"Za wysokie","OK.")</f>
        <v>OK.</v>
      </c>
      <c r="I84" s="170" t="str">
        <f>+IF(I18&lt;I19,"Za wysokie","OK.")</f>
        <v>OK.</v>
      </c>
      <c r="J84" s="170" t="str">
        <f>+IF(J18&lt;J19,"Za wysokie","OK.")</f>
        <v>OK.</v>
      </c>
    </row>
    <row r="85" spans="2:10" ht="12">
      <c r="B85" s="175"/>
      <c r="C85" s="190"/>
      <c r="D85" s="190"/>
      <c r="E85" s="190"/>
      <c r="F85" s="190"/>
      <c r="G85" s="175"/>
      <c r="H85" s="175"/>
      <c r="I85" s="175"/>
      <c r="J85" s="175"/>
    </row>
    <row r="86" spans="2:10" ht="22.5">
      <c r="B86" s="174" t="s">
        <v>185</v>
      </c>
      <c r="C86" s="189"/>
      <c r="D86" s="189"/>
      <c r="E86" s="189"/>
      <c r="F86" s="189"/>
      <c r="G86" s="170" t="str">
        <f>+IF(G7&lt;G8,"Za wysokie","OK.")</f>
        <v>OK.</v>
      </c>
      <c r="H86" s="170" t="str">
        <f>+IF(H7&lt;H8,"Za wysokie","OK.")</f>
        <v>OK.</v>
      </c>
      <c r="I86" s="170" t="str">
        <f>+IF(I7&lt;I8,"Za wysokie","OK.")</f>
        <v>OK.</v>
      </c>
      <c r="J86" s="170" t="str">
        <f>+IF(J7&lt;J8,"Za wysokie","OK.")</f>
        <v>OK.</v>
      </c>
    </row>
    <row r="87" spans="2:10" ht="22.5">
      <c r="B87" s="174" t="s">
        <v>184</v>
      </c>
      <c r="C87" s="189"/>
      <c r="D87" s="189"/>
      <c r="E87" s="189"/>
      <c r="F87" s="189"/>
      <c r="G87" s="170" t="str">
        <f>+IF(G9&lt;G11,"Za wysokie","OK.")</f>
        <v>OK.</v>
      </c>
      <c r="H87" s="170" t="str">
        <f>+IF(H9&lt;H11,"Za wysokie","OK.")</f>
        <v>OK.</v>
      </c>
      <c r="I87" s="170" t="str">
        <f>+IF(I9&lt;I11,"Za wysokie","OK.")</f>
        <v>OK.</v>
      </c>
      <c r="J87" s="170" t="str">
        <f>+IF(J9&lt;J11,"Za wysokie","OK.")</f>
        <v>OK.</v>
      </c>
    </row>
    <row r="88" spans="2:10" ht="45">
      <c r="B88" s="174" t="s">
        <v>183</v>
      </c>
      <c r="C88" s="189"/>
      <c r="D88" s="189"/>
      <c r="E88" s="189"/>
      <c r="F88" s="189"/>
      <c r="G88" s="170" t="str">
        <f>+IF(G14&lt;G15,"Za wysokie","OK.")</f>
        <v>OK.</v>
      </c>
      <c r="H88" s="170" t="str">
        <f>+IF(H14&lt;H15,"Za wysokie","OK.")</f>
        <v>OK.</v>
      </c>
      <c r="I88" s="170" t="str">
        <f>+IF(I14&lt;I15,"Za wysokie","OK.")</f>
        <v>OK.</v>
      </c>
      <c r="J88" s="170" t="str">
        <f>+IF(J14&lt;J15,"Za wysokie","OK.")</f>
        <v>OK.</v>
      </c>
    </row>
    <row r="89" spans="2:10" ht="33.75">
      <c r="B89" s="176" t="s">
        <v>179</v>
      </c>
      <c r="C89" s="191"/>
      <c r="D89" s="191"/>
      <c r="E89" s="191"/>
      <c r="F89" s="191"/>
      <c r="G89" s="177" t="str">
        <f>+IF(G20&lt;G21,"Za wysokie","OK.")</f>
        <v>OK.</v>
      </c>
      <c r="H89" s="177" t="str">
        <f>+IF(H20&lt;H21,"Za wysokie","OK.")</f>
        <v>OK.</v>
      </c>
      <c r="I89" s="177" t="str">
        <f>+IF(I20&lt;I21,"Za wysokie","OK.")</f>
        <v>OK.</v>
      </c>
      <c r="J89" s="177" t="str">
        <f>+IF(J20&lt;J21,"Za wysokie","OK.")</f>
        <v>OK.</v>
      </c>
    </row>
  </sheetData>
  <sheetProtection/>
  <conditionalFormatting sqref="G66:J66 G68:J69 G71:J73 G83:J84 G86:J89 G75:J81">
    <cfRule type="cellIs" priority="3" dxfId="2" operator="notEqual" stopIfTrue="1">
      <formula>"OK."</formula>
    </cfRule>
  </conditionalFormatting>
  <conditionalFormatting sqref="C46:J46 C48:J48">
    <cfRule type="expression" priority="5" dxfId="3" stopIfTrue="1">
      <formula>LEFT(C46,3)="Nie"</formula>
    </cfRule>
  </conditionalFormatting>
  <printOptions horizontalCentered="1"/>
  <pageMargins left="0.5118110236220472" right="0.5118110236220472" top="0.984251968503937" bottom="0.5511811023622047" header="0.2" footer="0.31496062992125984"/>
  <pageSetup blackAndWhite="1" horizontalDpi="300" verticalDpi="300" orientation="landscape" paperSize="9" scale="95" r:id="rId1"/>
  <headerFooter>
    <oddHeader>&amp;C&amp;"Times New Roman,Pogrubiona"&amp;14
WIELOLETNIA PROGNOZA FINANSOWA GMINY KRZYŻANÓW NA LATA  2012-2015&amp;R&amp;"Times New Roman,Normalny"&amp;9Załącznik nr 1
do uchwały nr X/81/2011 Rady Gminy Krzyżanów
z dnia  28.12.2011 r.</oddHead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(1002052) - KRZYŻANÓW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2012-2015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39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93</v>
      </c>
      <c r="C7" s="133">
        <f>12867168</f>
        <v>12867168</v>
      </c>
      <c r="D7" s="133">
        <f>13641228</f>
        <v>13641228</v>
      </c>
      <c r="E7" s="133">
        <f>13928170</f>
        <v>13928170</v>
      </c>
      <c r="F7" s="133">
        <f>13052480</f>
        <v>13052480</v>
      </c>
      <c r="G7" s="133">
        <f>0</f>
        <v>0</v>
      </c>
      <c r="H7" s="133">
        <f>0</f>
        <v>0</v>
      </c>
      <c r="I7" s="133">
        <f>0</f>
        <v>0</v>
      </c>
      <c r="J7" s="133">
        <f>0</f>
        <v>0</v>
      </c>
      <c r="K7" s="133">
        <f>0</f>
        <v>0</v>
      </c>
      <c r="L7" s="133">
        <f>0</f>
        <v>0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94</v>
      </c>
      <c r="B8" s="111" t="s">
        <v>95</v>
      </c>
      <c r="C8" s="112">
        <f>11737635</f>
        <v>11737635</v>
      </c>
      <c r="D8" s="112">
        <f>12325000</f>
        <v>12325000</v>
      </c>
      <c r="E8" s="112">
        <f>12448000</f>
        <v>12448000</v>
      </c>
      <c r="F8" s="112">
        <f>13052480</f>
        <v>13052480</v>
      </c>
      <c r="G8" s="112">
        <f>0</f>
        <v>0</v>
      </c>
      <c r="H8" s="112">
        <f>0</f>
        <v>0</v>
      </c>
      <c r="I8" s="112">
        <f>0</f>
        <v>0</v>
      </c>
      <c r="J8" s="112">
        <f>0</f>
        <v>0</v>
      </c>
      <c r="K8" s="112">
        <f>0</f>
        <v>0</v>
      </c>
      <c r="L8" s="112">
        <f>0</f>
        <v>0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96</v>
      </c>
      <c r="B9" s="113" t="s">
        <v>84</v>
      </c>
      <c r="C9" s="112">
        <f>0</f>
        <v>0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98</v>
      </c>
      <c r="B10" s="114" t="s">
        <v>99</v>
      </c>
      <c r="C10" s="112">
        <f>1129533</f>
        <v>1129533</v>
      </c>
      <c r="D10" s="112">
        <f>1316228</f>
        <v>1316228</v>
      </c>
      <c r="E10" s="112">
        <f>1480170</f>
        <v>1480170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100</v>
      </c>
      <c r="B11" s="113" t="s">
        <v>86</v>
      </c>
      <c r="C11" s="112">
        <f>300000</f>
        <v>300000</v>
      </c>
      <c r="D11" s="112">
        <f>0</f>
        <v>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102</v>
      </c>
      <c r="B12" s="135" t="s">
        <v>87</v>
      </c>
      <c r="C12" s="136">
        <f>827033</f>
        <v>827033</v>
      </c>
      <c r="D12" s="136">
        <f>1316228</f>
        <v>1316228</v>
      </c>
      <c r="E12" s="136">
        <f>1480170</f>
        <v>1480170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8603236</f>
        <v>8603236</v>
      </c>
      <c r="D13" s="133">
        <f>8706308</f>
        <v>8706308</v>
      </c>
      <c r="E13" s="133">
        <f>8919300</f>
        <v>8919300</v>
      </c>
      <c r="F13" s="133">
        <f>9239300</f>
        <v>9239300</v>
      </c>
      <c r="G13" s="133">
        <f>0</f>
        <v>0</v>
      </c>
      <c r="H13" s="133">
        <f>0</f>
        <v>0</v>
      </c>
      <c r="I13" s="133">
        <f>0</f>
        <v>0</v>
      </c>
      <c r="J13" s="133">
        <f>0</f>
        <v>0</v>
      </c>
      <c r="K13" s="133">
        <f>0</f>
        <v>0</v>
      </c>
      <c r="L13" s="133">
        <f>0</f>
        <v>0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104</v>
      </c>
      <c r="B14" s="111" t="s">
        <v>4</v>
      </c>
      <c r="C14" s="112">
        <f>4194203</f>
        <v>4194203</v>
      </c>
      <c r="D14" s="112">
        <f>4299058</f>
        <v>4299058</v>
      </c>
      <c r="E14" s="112">
        <f>4363544</f>
        <v>4363544</v>
      </c>
      <c r="F14" s="112">
        <f>4494450.32</f>
        <v>4494450.32</v>
      </c>
      <c r="G14" s="112">
        <f>0</f>
        <v>0</v>
      </c>
      <c r="H14" s="112">
        <f>0</f>
        <v>0</v>
      </c>
      <c r="I14" s="112">
        <f>0</f>
        <v>0</v>
      </c>
      <c r="J14" s="112">
        <f>0</f>
        <v>0</v>
      </c>
      <c r="K14" s="112">
        <f>0</f>
        <v>0</v>
      </c>
      <c r="L14" s="112">
        <f>0</f>
        <v>0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106</v>
      </c>
      <c r="B15" s="111" t="s">
        <v>5</v>
      </c>
      <c r="C15" s="112">
        <f>1489370</f>
        <v>1489370</v>
      </c>
      <c r="D15" s="112">
        <f>1526604</f>
        <v>1526604</v>
      </c>
      <c r="E15" s="112">
        <f>1549503</f>
        <v>1549503</v>
      </c>
      <c r="F15" s="112">
        <f>1595988</f>
        <v>1595988</v>
      </c>
      <c r="G15" s="112">
        <f>0</f>
        <v>0</v>
      </c>
      <c r="H15" s="112">
        <f>0</f>
        <v>0</v>
      </c>
      <c r="I15" s="112">
        <f>0</f>
        <v>0</v>
      </c>
      <c r="J15" s="112">
        <f>0</f>
        <v>0</v>
      </c>
      <c r="K15" s="112">
        <f>0</f>
        <v>0</v>
      </c>
      <c r="L15" s="112">
        <f>0</f>
        <v>0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108</v>
      </c>
      <c r="B16" s="111" t="s">
        <v>156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112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114</v>
      </c>
      <c r="B19" s="137" t="s">
        <v>154</v>
      </c>
      <c r="C19" s="136">
        <f>0</f>
        <v>0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5" t="s">
        <v>116</v>
      </c>
      <c r="C20" s="106">
        <f>4263932</f>
        <v>4263932</v>
      </c>
      <c r="D20" s="106">
        <f>4934920</f>
        <v>4934920</v>
      </c>
      <c r="E20" s="106">
        <f>5008870</f>
        <v>5008870</v>
      </c>
      <c r="F20" s="106">
        <f>3813180</f>
        <v>3813180</v>
      </c>
      <c r="G20" s="106">
        <f>0</f>
        <v>0</v>
      </c>
      <c r="H20" s="106">
        <f>0</f>
        <v>0</v>
      </c>
      <c r="I20" s="106">
        <f>0</f>
        <v>0</v>
      </c>
      <c r="J20" s="106">
        <f>0</f>
        <v>0</v>
      </c>
      <c r="K20" s="106">
        <f>0</f>
        <v>0</v>
      </c>
      <c r="L20" s="106">
        <f>0</f>
        <v>0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60</v>
      </c>
      <c r="C21" s="133">
        <f>0</f>
        <v>0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117</v>
      </c>
      <c r="B22" s="137" t="s">
        <v>61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5" t="s">
        <v>121</v>
      </c>
      <c r="C25" s="106">
        <f>4263932</f>
        <v>4263932</v>
      </c>
      <c r="D25" s="106">
        <f>4934920</f>
        <v>4934920</v>
      </c>
      <c r="E25" s="106">
        <f>5008870</f>
        <v>5008870</v>
      </c>
      <c r="F25" s="106">
        <f>3813180</f>
        <v>3813180</v>
      </c>
      <c r="G25" s="106">
        <f>0</f>
        <v>0</v>
      </c>
      <c r="H25" s="106">
        <f>0</f>
        <v>0</v>
      </c>
      <c r="I25" s="106">
        <f>0</f>
        <v>0</v>
      </c>
      <c r="J25" s="106">
        <f>0</f>
        <v>0</v>
      </c>
      <c r="K25" s="106">
        <f>0</f>
        <v>0</v>
      </c>
      <c r="L25" s="106">
        <f>0</f>
        <v>0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1515463.01</f>
        <v>1515463.01</v>
      </c>
      <c r="D26" s="133">
        <f>2064785.2</f>
        <v>2064785.2</v>
      </c>
      <c r="E26" s="133">
        <f>1200394.2</f>
        <v>1200394.2</v>
      </c>
      <c r="F26" s="133">
        <f>498487</f>
        <v>498487</v>
      </c>
      <c r="G26" s="133">
        <f>0</f>
        <v>0</v>
      </c>
      <c r="H26" s="133">
        <f>0</f>
        <v>0</v>
      </c>
      <c r="I26" s="133">
        <f>0</f>
        <v>0</v>
      </c>
      <c r="J26" s="133">
        <f>0</f>
        <v>0</v>
      </c>
      <c r="K26" s="133">
        <f>0</f>
        <v>0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122</v>
      </c>
      <c r="B27" s="116" t="s">
        <v>159</v>
      </c>
      <c r="C27" s="112">
        <f>1405463.01</f>
        <v>1405463.01</v>
      </c>
      <c r="D27" s="112">
        <f>1904785.2</f>
        <v>1904785.2</v>
      </c>
      <c r="E27" s="112">
        <f>1120394.2</f>
        <v>1120394.2</v>
      </c>
      <c r="F27" s="112">
        <f>468487</f>
        <v>468487</v>
      </c>
      <c r="G27" s="112">
        <f>0</f>
        <v>0</v>
      </c>
      <c r="H27" s="112">
        <f>0</f>
        <v>0</v>
      </c>
      <c r="I27" s="112">
        <f>0</f>
        <v>0</v>
      </c>
      <c r="J27" s="112">
        <f>0</f>
        <v>0</v>
      </c>
      <c r="K27" s="112">
        <f>0</f>
        <v>0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124</v>
      </c>
      <c r="B28" s="113" t="s">
        <v>157</v>
      </c>
      <c r="C28" s="112">
        <f>595645.15</f>
        <v>595645.15</v>
      </c>
      <c r="D28" s="112">
        <f>761668</f>
        <v>761668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126</v>
      </c>
      <c r="B29" s="111" t="s">
        <v>160</v>
      </c>
      <c r="C29" s="112">
        <f>110000</f>
        <v>110000</v>
      </c>
      <c r="D29" s="112">
        <f>160000</f>
        <v>160000</v>
      </c>
      <c r="E29" s="112">
        <f>80000</f>
        <v>80000</v>
      </c>
      <c r="F29" s="112">
        <f>30000</f>
        <v>30000</v>
      </c>
      <c r="G29" s="112">
        <f>0</f>
        <v>0</v>
      </c>
      <c r="H29" s="112">
        <f>0</f>
        <v>0</v>
      </c>
      <c r="I29" s="112">
        <f>0</f>
        <v>0</v>
      </c>
      <c r="J29" s="112">
        <f>0</f>
        <v>0</v>
      </c>
      <c r="K29" s="112">
        <f>0</f>
        <v>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128</v>
      </c>
      <c r="B30" s="135" t="s">
        <v>158</v>
      </c>
      <c r="C30" s="136">
        <f>100000</f>
        <v>100000</v>
      </c>
      <c r="D30" s="136">
        <f>150000</f>
        <v>150000</v>
      </c>
      <c r="E30" s="136">
        <f>80000</f>
        <v>80000</v>
      </c>
      <c r="F30" s="136">
        <f>30000</f>
        <v>30000</v>
      </c>
      <c r="G30" s="136">
        <f>0</f>
        <v>0</v>
      </c>
      <c r="H30" s="136">
        <f>0</f>
        <v>0</v>
      </c>
      <c r="I30" s="136">
        <f>0</f>
        <v>0</v>
      </c>
      <c r="J30" s="136">
        <f>0</f>
        <v>0</v>
      </c>
      <c r="K30" s="136">
        <f>0</f>
        <v>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5" t="s">
        <v>131</v>
      </c>
      <c r="C32" s="106">
        <f>2748468.99</f>
        <v>2748468.99</v>
      </c>
      <c r="D32" s="106">
        <f>2870134.8</f>
        <v>2870134.8</v>
      </c>
      <c r="E32" s="106">
        <f>3808475.8</f>
        <v>3808475.8</v>
      </c>
      <c r="F32" s="106">
        <f>3314693</f>
        <v>3314693</v>
      </c>
      <c r="G32" s="106">
        <f>0</f>
        <v>0</v>
      </c>
      <c r="H32" s="106">
        <f>0</f>
        <v>0</v>
      </c>
      <c r="I32" s="106">
        <f>0</f>
        <v>0</v>
      </c>
      <c r="J32" s="106">
        <f>0</f>
        <v>0</v>
      </c>
      <c r="K32" s="106">
        <f>0</f>
        <v>0</v>
      </c>
      <c r="L32" s="106">
        <f>0</f>
        <v>0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4915600</f>
        <v>4915600</v>
      </c>
      <c r="D33" s="133">
        <f>2870134.8</f>
        <v>2870134.8</v>
      </c>
      <c r="E33" s="133">
        <f>3808475.8</f>
        <v>3808475.8</v>
      </c>
      <c r="F33" s="133">
        <f>3314693</f>
        <v>3314693</v>
      </c>
      <c r="G33" s="133">
        <f>0</f>
        <v>0</v>
      </c>
      <c r="H33" s="133">
        <f>0</f>
        <v>0</v>
      </c>
      <c r="I33" s="133">
        <f>0</f>
        <v>0</v>
      </c>
      <c r="J33" s="133">
        <f>0</f>
        <v>0</v>
      </c>
      <c r="K33" s="133">
        <f>0</f>
        <v>0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132</v>
      </c>
      <c r="B34" s="111" t="s">
        <v>161</v>
      </c>
      <c r="C34" s="112">
        <f>2100000</f>
        <v>2100000</v>
      </c>
      <c r="D34" s="112">
        <f>0</f>
        <v>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134</v>
      </c>
      <c r="B35" s="137" t="s">
        <v>154</v>
      </c>
      <c r="C35" s="136">
        <f>2100000</f>
        <v>2100000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62</v>
      </c>
      <c r="C36" s="139">
        <f>2167131.01</f>
        <v>2167131.01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135</v>
      </c>
      <c r="B37" s="137" t="s">
        <v>61</v>
      </c>
      <c r="C37" s="140">
        <f>761668</f>
        <v>761668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5" t="s">
        <v>136</v>
      </c>
      <c r="C38" s="108">
        <f>0</f>
        <v>0</v>
      </c>
      <c r="D38" s="108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6" customFormat="1" ht="12">
      <c r="A39" s="131">
        <v>13</v>
      </c>
      <c r="B39" s="132" t="s">
        <v>66</v>
      </c>
      <c r="C39" s="141">
        <f>3493666.4</f>
        <v>3493666.4</v>
      </c>
      <c r="D39" s="141">
        <f>657706.19</f>
        <v>657706.19</v>
      </c>
      <c r="E39" s="141">
        <f>1588881.2</f>
        <v>1588881.2</v>
      </c>
      <c r="F39" s="141">
        <f>0</f>
        <v>0</v>
      </c>
      <c r="G39" s="141">
        <f>0</f>
        <v>0</v>
      </c>
      <c r="H39" s="141">
        <f>0</f>
        <v>0</v>
      </c>
      <c r="I39" s="141">
        <f>0</f>
        <v>0</v>
      </c>
      <c r="J39" s="141">
        <f>0</f>
        <v>0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5" t="s">
        <v>68</v>
      </c>
      <c r="C41" s="40">
        <f>761668</f>
        <v>761668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6" customFormat="1" ht="36">
      <c r="A42" s="109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6" customFormat="1" ht="24">
      <c r="A43" s="109">
        <v>16</v>
      </c>
      <c r="B43" s="55" t="s">
        <v>140</v>
      </c>
      <c r="C43" s="40">
        <f>0</f>
        <v>0</v>
      </c>
      <c r="D43" s="40">
        <f>1904785.2</f>
        <v>1904785.2</v>
      </c>
      <c r="E43" s="40">
        <f>1120394.2</f>
        <v>1120394.2</v>
      </c>
      <c r="F43" s="40">
        <f>468487</f>
        <v>468487</v>
      </c>
      <c r="G43" s="40">
        <f>0</f>
        <v>0</v>
      </c>
      <c r="H43" s="40">
        <f>0</f>
        <v>0</v>
      </c>
      <c r="I43" s="40">
        <f>0</f>
        <v>0</v>
      </c>
      <c r="J43" s="40">
        <f>0</f>
        <v>0</v>
      </c>
      <c r="K43" s="40">
        <f>0</f>
        <v>0</v>
      </c>
      <c r="L43" s="40">
        <f>0</f>
        <v>0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6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69</v>
      </c>
      <c r="C46" s="148">
        <f>0.2715</f>
        <v>0.2715</v>
      </c>
      <c r="D46" s="148">
        <f>0.0482</f>
        <v>0.0482</v>
      </c>
      <c r="E46" s="148">
        <f>0.1141</f>
        <v>0.1141</v>
      </c>
      <c r="F46" s="148">
        <f>0</f>
        <v>0</v>
      </c>
      <c r="G46" s="148">
        <f>0</f>
        <v>0</v>
      </c>
      <c r="H46" s="148">
        <f>0</f>
        <v>0</v>
      </c>
      <c r="I46" s="148">
        <f>0</f>
        <v>0</v>
      </c>
      <c r="J46" s="148">
        <f>0</f>
        <v>0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143</v>
      </c>
      <c r="B47" s="120" t="s">
        <v>71</v>
      </c>
      <c r="C47" s="121">
        <f>0.2123</f>
        <v>0.2123</v>
      </c>
      <c r="D47" s="121">
        <f>0.0482</f>
        <v>0.0482</v>
      </c>
      <c r="E47" s="121">
        <f>0.1141</f>
        <v>0.1141</v>
      </c>
      <c r="F47" s="121">
        <f>0</f>
        <v>0</v>
      </c>
      <c r="G47" s="121">
        <f>0</f>
        <v>0</v>
      </c>
      <c r="H47" s="121">
        <f>0</f>
        <v>0</v>
      </c>
      <c r="I47" s="121">
        <f>0</f>
        <v>0</v>
      </c>
      <c r="J47" s="121">
        <f>0</f>
        <v>0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72</v>
      </c>
      <c r="C48" s="121">
        <f>0.117</f>
        <v>0.117</v>
      </c>
      <c r="D48" s="121">
        <f>0.1506</f>
        <v>0.1506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144</v>
      </c>
      <c r="B49" s="149" t="s">
        <v>74</v>
      </c>
      <c r="C49" s="150">
        <f>0.0707</f>
        <v>0.0707</v>
      </c>
      <c r="D49" s="150">
        <f>0.0948</f>
        <v>0.0948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145</v>
      </c>
      <c r="C50" s="148">
        <f>0.2584</f>
        <v>0.2584</v>
      </c>
      <c r="D50" s="148">
        <f>0.2535</f>
        <v>0.2535</v>
      </c>
      <c r="E50" s="148">
        <f>0.2476</f>
        <v>0.2476</v>
      </c>
      <c r="F50" s="148">
        <f>0.2898</f>
        <v>0.2898</v>
      </c>
      <c r="G50" s="148">
        <f>0</f>
        <v>0</v>
      </c>
      <c r="H50" s="148">
        <f>0</f>
        <v>0</v>
      </c>
      <c r="I50" s="148">
        <f>0</f>
        <v>0</v>
      </c>
      <c r="J50" s="148">
        <f>0</f>
        <v>0</v>
      </c>
      <c r="K50" s="148">
        <f>0</f>
        <v>0</v>
      </c>
      <c r="L50" s="148">
        <f>0</f>
        <v>0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146</v>
      </c>
      <c r="B51" s="120" t="s">
        <v>53</v>
      </c>
      <c r="C51" s="121">
        <f>0.1042</f>
        <v>0.1042</v>
      </c>
      <c r="D51" s="121">
        <f>0.1466</f>
        <v>0.1466</v>
      </c>
      <c r="E51" s="121">
        <f>0.1889</f>
        <v>0.1889</v>
      </c>
      <c r="F51" s="121">
        <f>0.2532</f>
        <v>0.2532</v>
      </c>
      <c r="G51" s="121">
        <f>0</f>
        <v>0</v>
      </c>
      <c r="H51" s="121">
        <f>0</f>
        <v>0</v>
      </c>
      <c r="I51" s="121">
        <f>0</f>
        <v>0</v>
      </c>
      <c r="J51" s="121">
        <f>0</f>
        <v>0</v>
      </c>
      <c r="K51" s="121">
        <f>0</f>
        <v>0</v>
      </c>
      <c r="L51" s="121">
        <f>0</f>
        <v>0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0.117</f>
        <v>0.117</v>
      </c>
      <c r="D52" s="121">
        <f>0.1506</f>
        <v>0.1506</v>
      </c>
      <c r="E52" s="121">
        <f>0.0862</f>
        <v>0.0862</v>
      </c>
      <c r="F52" s="121">
        <f>0.0382</f>
        <v>0.0382</v>
      </c>
      <c r="G52" s="121">
        <f>0</f>
        <v>0</v>
      </c>
      <c r="H52" s="121">
        <f>0</f>
        <v>0</v>
      </c>
      <c r="I52" s="121">
        <f>0</f>
        <v>0</v>
      </c>
      <c r="J52" s="121">
        <f>0</f>
        <v>0</v>
      </c>
      <c r="K52" s="121">
        <f>0</f>
        <v>0</v>
      </c>
      <c r="L52" s="121">
        <f>0</f>
        <v>0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77</v>
      </c>
      <c r="C54" s="121">
        <f>0.0707</f>
        <v>0.0707</v>
      </c>
      <c r="D54" s="121">
        <f>0.0948</f>
        <v>0.0948</v>
      </c>
      <c r="E54" s="121">
        <f>0.0862</f>
        <v>0.0862</v>
      </c>
      <c r="F54" s="121">
        <f>0.0382</f>
        <v>0.0382</v>
      </c>
      <c r="G54" s="121">
        <f>0</f>
        <v>0</v>
      </c>
      <c r="H54" s="121">
        <f>0</f>
        <v>0</v>
      </c>
      <c r="I54" s="121">
        <f>0</f>
        <v>0</v>
      </c>
      <c r="J54" s="121">
        <f>0</f>
        <v>0</v>
      </c>
      <c r="K54" s="121">
        <f>0</f>
        <v>0</v>
      </c>
      <c r="L54" s="121">
        <f>0</f>
        <v>0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Spełnia  art. 243</v>
      </c>
      <c r="D55" s="153" t="str">
        <f aca="true" t="shared" si="2" ref="D55:AD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149</v>
      </c>
      <c r="C56" s="139">
        <f>11737635</f>
        <v>11737635</v>
      </c>
      <c r="D56" s="139">
        <f>12325000</f>
        <v>12325000</v>
      </c>
      <c r="E56" s="139">
        <f>12448000</f>
        <v>12448000</v>
      </c>
      <c r="F56" s="139">
        <f>13052480</f>
        <v>13052480</v>
      </c>
      <c r="G56" s="139">
        <f>0</f>
        <v>0</v>
      </c>
      <c r="H56" s="139">
        <f>0</f>
        <v>0</v>
      </c>
      <c r="I56" s="139">
        <f>0</f>
        <v>0</v>
      </c>
      <c r="J56" s="139">
        <f>0</f>
        <v>0</v>
      </c>
      <c r="K56" s="139">
        <f>0</f>
        <v>0</v>
      </c>
      <c r="L56" s="139">
        <f>0</f>
        <v>0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8713236</f>
        <v>8713236</v>
      </c>
      <c r="D57" s="117">
        <f>8866308</f>
        <v>8866308</v>
      </c>
      <c r="E57" s="117">
        <f>8999300</f>
        <v>8999300</v>
      </c>
      <c r="F57" s="117">
        <f>9269300</f>
        <v>9269300</v>
      </c>
      <c r="G57" s="117">
        <f>0</f>
        <v>0</v>
      </c>
      <c r="H57" s="117">
        <f>0</f>
        <v>0</v>
      </c>
      <c r="I57" s="117">
        <f>0</f>
        <v>0</v>
      </c>
      <c r="J57" s="117">
        <f>0</f>
        <v>0</v>
      </c>
      <c r="K57" s="117">
        <f>0</f>
        <v>0</v>
      </c>
      <c r="L57" s="117">
        <f>0</f>
        <v>0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3024399</f>
        <v>3024399</v>
      </c>
      <c r="D58" s="130">
        <f>3458692</f>
        <v>3458692</v>
      </c>
      <c r="E58" s="130">
        <f>3448700</f>
        <v>3448700</v>
      </c>
      <c r="F58" s="130">
        <f>3783180</f>
        <v>3783180</v>
      </c>
      <c r="G58" s="130">
        <f>0</f>
        <v>0</v>
      </c>
      <c r="H58" s="130">
        <f>0</f>
        <v>0</v>
      </c>
      <c r="I58" s="130">
        <f>0</f>
        <v>0</v>
      </c>
      <c r="J58" s="130">
        <f>0</f>
        <v>0</v>
      </c>
      <c r="K58" s="130">
        <f>0</f>
        <v>0</v>
      </c>
      <c r="L58" s="130">
        <f>0</f>
        <v>0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>
        <v>26</v>
      </c>
      <c r="B59" s="155" t="s">
        <v>151</v>
      </c>
      <c r="C59" s="139">
        <f>12867168</f>
        <v>12867168</v>
      </c>
      <c r="D59" s="139">
        <f>13641228</f>
        <v>13641228</v>
      </c>
      <c r="E59" s="139">
        <f>13928170</f>
        <v>13928170</v>
      </c>
      <c r="F59" s="139">
        <f>13052480</f>
        <v>13052480</v>
      </c>
      <c r="G59" s="139">
        <f>0</f>
        <v>0</v>
      </c>
      <c r="H59" s="139">
        <f>0</f>
        <v>0</v>
      </c>
      <c r="I59" s="139">
        <f>0</f>
        <v>0</v>
      </c>
      <c r="J59" s="139">
        <f>0</f>
        <v>0</v>
      </c>
      <c r="K59" s="139">
        <f>0</f>
        <v>0</v>
      </c>
      <c r="L59" s="139">
        <f>0</f>
        <v>0</v>
      </c>
      <c r="M59" s="139">
        <f>0</f>
        <v>0</v>
      </c>
      <c r="N59" s="139">
        <f>0</f>
        <v>0</v>
      </c>
      <c r="O59" s="139">
        <f>0</f>
        <v>0</v>
      </c>
      <c r="P59" s="139">
        <f>0</f>
        <v>0</v>
      </c>
      <c r="Q59" s="139">
        <f>0</f>
        <v>0</v>
      </c>
      <c r="R59" s="139">
        <f>0</f>
        <v>0</v>
      </c>
      <c r="S59" s="139">
        <f>0</f>
        <v>0</v>
      </c>
      <c r="T59" s="139">
        <f>0</f>
        <v>0</v>
      </c>
      <c r="U59" s="139">
        <f>0</f>
        <v>0</v>
      </c>
      <c r="V59" s="139">
        <f>0</f>
        <v>0</v>
      </c>
      <c r="W59" s="139">
        <f>0</f>
        <v>0</v>
      </c>
      <c r="X59" s="139">
        <f>0</f>
        <v>0</v>
      </c>
      <c r="Y59" s="139">
        <f>0</f>
        <v>0</v>
      </c>
      <c r="Z59" s="139">
        <f>0</f>
        <v>0</v>
      </c>
      <c r="AA59" s="139">
        <f>0</f>
        <v>0</v>
      </c>
      <c r="AB59" s="139">
        <f>0</f>
        <v>0</v>
      </c>
      <c r="AC59" s="139">
        <f>0</f>
        <v>0</v>
      </c>
      <c r="AD59" s="139">
        <f>0</f>
        <v>0</v>
      </c>
      <c r="AE59" s="139">
        <f>0</f>
        <v>0</v>
      </c>
      <c r="AF59" s="139">
        <f>0</f>
        <v>0</v>
      </c>
      <c r="AG59" s="139">
        <f>0</f>
        <v>0</v>
      </c>
      <c r="AH59" s="139">
        <f>0</f>
        <v>0</v>
      </c>
      <c r="AI59" s="139">
        <f>0</f>
        <v>0</v>
      </c>
      <c r="AJ59" s="139">
        <f>0</f>
        <v>0</v>
      </c>
      <c r="AK59" s="139">
        <f>0</f>
        <v>0</v>
      </c>
      <c r="AL59" s="139">
        <f>0</f>
        <v>0</v>
      </c>
      <c r="AM59" s="139">
        <f>0</f>
        <v>0</v>
      </c>
      <c r="AN59" s="139">
        <f>0</f>
        <v>0</v>
      </c>
      <c r="AO59" s="139">
        <f>0</f>
        <v>0</v>
      </c>
    </row>
    <row r="60" spans="1:41" ht="12.75">
      <c r="A60" s="126">
        <v>27</v>
      </c>
      <c r="B60" s="127" t="s">
        <v>46</v>
      </c>
      <c r="C60" s="117">
        <f>13628836</f>
        <v>13628836</v>
      </c>
      <c r="D60" s="117">
        <f>11736442.8</f>
        <v>11736442.8</v>
      </c>
      <c r="E60" s="117">
        <f>12807775.8</f>
        <v>12807775.8</v>
      </c>
      <c r="F60" s="117">
        <f>12583993</f>
        <v>12583993</v>
      </c>
      <c r="G60" s="117">
        <f>0</f>
        <v>0</v>
      </c>
      <c r="H60" s="117">
        <f>0</f>
        <v>0</v>
      </c>
      <c r="I60" s="117">
        <f>0</f>
        <v>0</v>
      </c>
      <c r="J60" s="117">
        <f>0</f>
        <v>0</v>
      </c>
      <c r="K60" s="117">
        <f>0</f>
        <v>0</v>
      </c>
      <c r="L60" s="117">
        <f>0</f>
        <v>0</v>
      </c>
      <c r="M60" s="117">
        <f>0</f>
        <v>0</v>
      </c>
      <c r="N60" s="117">
        <f>0</f>
        <v>0</v>
      </c>
      <c r="O60" s="117">
        <f>0</f>
        <v>0</v>
      </c>
      <c r="P60" s="117">
        <f>0</f>
        <v>0</v>
      </c>
      <c r="Q60" s="117">
        <f>0</f>
        <v>0</v>
      </c>
      <c r="R60" s="117">
        <f>0</f>
        <v>0</v>
      </c>
      <c r="S60" s="117">
        <f>0</f>
        <v>0</v>
      </c>
      <c r="T60" s="117">
        <f>0</f>
        <v>0</v>
      </c>
      <c r="U60" s="117">
        <f>0</f>
        <v>0</v>
      </c>
      <c r="V60" s="117">
        <f>0</f>
        <v>0</v>
      </c>
      <c r="W60" s="117">
        <f>0</f>
        <v>0</v>
      </c>
      <c r="X60" s="117">
        <f>0</f>
        <v>0</v>
      </c>
      <c r="Y60" s="117">
        <f>0</f>
        <v>0</v>
      </c>
      <c r="Z60" s="117">
        <f>0</f>
        <v>0</v>
      </c>
      <c r="AA60" s="117">
        <f>0</f>
        <v>0</v>
      </c>
      <c r="AB60" s="117">
        <f>0</f>
        <v>0</v>
      </c>
      <c r="AC60" s="117">
        <f>0</f>
        <v>0</v>
      </c>
      <c r="AD60" s="117">
        <f>0</f>
        <v>0</v>
      </c>
      <c r="AE60" s="117">
        <f>0</f>
        <v>0</v>
      </c>
      <c r="AF60" s="117">
        <f>0</f>
        <v>0</v>
      </c>
      <c r="AG60" s="117">
        <f>0</f>
        <v>0</v>
      </c>
      <c r="AH60" s="117">
        <f>0</f>
        <v>0</v>
      </c>
      <c r="AI60" s="117">
        <f>0</f>
        <v>0</v>
      </c>
      <c r="AJ60" s="117">
        <f>0</f>
        <v>0</v>
      </c>
      <c r="AK60" s="117">
        <f>0</f>
        <v>0</v>
      </c>
      <c r="AL60" s="117">
        <f>0</f>
        <v>0</v>
      </c>
      <c r="AM60" s="117">
        <f>0</f>
        <v>0</v>
      </c>
      <c r="AN60" s="117">
        <f>0</f>
        <v>0</v>
      </c>
      <c r="AO60" s="117">
        <f>0</f>
        <v>0</v>
      </c>
    </row>
    <row r="61" spans="1:41" ht="12">
      <c r="A61" s="128">
        <v>28</v>
      </c>
      <c r="B61" s="159" t="s">
        <v>48</v>
      </c>
      <c r="C61" s="130">
        <f>-761668</f>
        <v>-761668</v>
      </c>
      <c r="D61" s="130">
        <f>1904785.2</f>
        <v>1904785.2</v>
      </c>
      <c r="E61" s="130">
        <f>1120394.2</f>
        <v>1120394.2</v>
      </c>
      <c r="F61" s="130">
        <f>468487</f>
        <v>468487</v>
      </c>
      <c r="G61" s="130">
        <f>0</f>
        <v>0</v>
      </c>
      <c r="H61" s="130">
        <f>0</f>
        <v>0</v>
      </c>
      <c r="I61" s="130">
        <f>0</f>
        <v>0</v>
      </c>
      <c r="J61" s="130">
        <f>0</f>
        <v>0</v>
      </c>
      <c r="K61" s="130">
        <f>0</f>
        <v>0</v>
      </c>
      <c r="L61" s="130">
        <f>0</f>
        <v>0</v>
      </c>
      <c r="M61" s="130">
        <f>0</f>
        <v>0</v>
      </c>
      <c r="N61" s="130">
        <f>0</f>
        <v>0</v>
      </c>
      <c r="O61" s="130">
        <f>0</f>
        <v>0</v>
      </c>
      <c r="P61" s="130">
        <f>0</f>
        <v>0</v>
      </c>
      <c r="Q61" s="130">
        <f>0</f>
        <v>0</v>
      </c>
      <c r="R61" s="130">
        <f>0</f>
        <v>0</v>
      </c>
      <c r="S61" s="130">
        <f>0</f>
        <v>0</v>
      </c>
      <c r="T61" s="130">
        <f>0</f>
        <v>0</v>
      </c>
      <c r="U61" s="130">
        <f>0</f>
        <v>0</v>
      </c>
      <c r="V61" s="130">
        <f>0</f>
        <v>0</v>
      </c>
      <c r="W61" s="130">
        <f>0</f>
        <v>0</v>
      </c>
      <c r="X61" s="130">
        <f>0</f>
        <v>0</v>
      </c>
      <c r="Y61" s="130">
        <f>0</f>
        <v>0</v>
      </c>
      <c r="Z61" s="130">
        <f>0</f>
        <v>0</v>
      </c>
      <c r="AA61" s="130">
        <f>0</f>
        <v>0</v>
      </c>
      <c r="AB61" s="130">
        <f>0</f>
        <v>0</v>
      </c>
      <c r="AC61" s="130">
        <f>0</f>
        <v>0</v>
      </c>
      <c r="AD61" s="130">
        <f>0</f>
        <v>0</v>
      </c>
      <c r="AE61" s="130">
        <f>0</f>
        <v>0</v>
      </c>
      <c r="AF61" s="130">
        <f>0</f>
        <v>0</v>
      </c>
      <c r="AG61" s="130">
        <f>0</f>
        <v>0</v>
      </c>
      <c r="AH61" s="130">
        <f>0</f>
        <v>0</v>
      </c>
      <c r="AI61" s="130">
        <f>0</f>
        <v>0</v>
      </c>
      <c r="AJ61" s="130">
        <f>0</f>
        <v>0</v>
      </c>
      <c r="AK61" s="130">
        <f>0</f>
        <v>0</v>
      </c>
      <c r="AL61" s="130">
        <f>0</f>
        <v>0</v>
      </c>
      <c r="AM61" s="130">
        <f>0</f>
        <v>0</v>
      </c>
      <c r="AN61" s="130">
        <f>0</f>
        <v>0</v>
      </c>
      <c r="AO61" s="130">
        <f>0</f>
        <v>0</v>
      </c>
    </row>
    <row r="62" spans="1:41" ht="12">
      <c r="A62" s="157">
        <v>29</v>
      </c>
      <c r="B62" s="158" t="s">
        <v>152</v>
      </c>
      <c r="C62" s="138">
        <f>2167131.01</f>
        <v>2167131.01</v>
      </c>
      <c r="D62" s="138">
        <f>0</f>
        <v>0</v>
      </c>
      <c r="E62" s="138">
        <f>0</f>
        <v>0</v>
      </c>
      <c r="F62" s="138">
        <f>0</f>
        <v>0</v>
      </c>
      <c r="G62" s="138">
        <f>0</f>
        <v>0</v>
      </c>
      <c r="H62" s="138">
        <f>0</f>
        <v>0</v>
      </c>
      <c r="I62" s="138">
        <f>0</f>
        <v>0</v>
      </c>
      <c r="J62" s="138">
        <f>0</f>
        <v>0</v>
      </c>
      <c r="K62" s="138">
        <f>0</f>
        <v>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">
      <c r="A63" s="128">
        <v>30</v>
      </c>
      <c r="B63" s="129" t="s">
        <v>153</v>
      </c>
      <c r="C63" s="130">
        <f>1405463.01</f>
        <v>1405463.01</v>
      </c>
      <c r="D63" s="130">
        <f>1904785.2</f>
        <v>1904785.2</v>
      </c>
      <c r="E63" s="130">
        <f>1120394.2</f>
        <v>1120394.2</v>
      </c>
      <c r="F63" s="130">
        <f>468487</f>
        <v>468487</v>
      </c>
      <c r="G63" s="130">
        <f>0</f>
        <v>0</v>
      </c>
      <c r="H63" s="130">
        <f>0</f>
        <v>0</v>
      </c>
      <c r="I63" s="130">
        <f>0</f>
        <v>0</v>
      </c>
      <c r="J63" s="130">
        <f>0</f>
        <v>0</v>
      </c>
      <c r="K63" s="130">
        <f>0</f>
        <v>0</v>
      </c>
      <c r="L63" s="130">
        <f>0</f>
        <v>0</v>
      </c>
      <c r="M63" s="130">
        <f>0</f>
        <v>0</v>
      </c>
      <c r="N63" s="130">
        <f>0</f>
        <v>0</v>
      </c>
      <c r="O63" s="130">
        <f>0</f>
        <v>0</v>
      </c>
      <c r="P63" s="130">
        <f>0</f>
        <v>0</v>
      </c>
      <c r="Q63" s="130">
        <f>0</f>
        <v>0</v>
      </c>
      <c r="R63" s="130">
        <f>0</f>
        <v>0</v>
      </c>
      <c r="S63" s="130">
        <f>0</f>
        <v>0</v>
      </c>
      <c r="T63" s="130">
        <f>0</f>
        <v>0</v>
      </c>
      <c r="U63" s="130">
        <f>0</f>
        <v>0</v>
      </c>
      <c r="V63" s="130">
        <f>0</f>
        <v>0</v>
      </c>
      <c r="W63" s="130">
        <f>0</f>
        <v>0</v>
      </c>
      <c r="X63" s="130">
        <f>0</f>
        <v>0</v>
      </c>
      <c r="Y63" s="130">
        <f>0</f>
        <v>0</v>
      </c>
      <c r="Z63" s="130">
        <f>0</f>
        <v>0</v>
      </c>
      <c r="AA63" s="130">
        <f>0</f>
        <v>0</v>
      </c>
      <c r="AB63" s="130">
        <f>0</f>
        <v>0</v>
      </c>
      <c r="AC63" s="130">
        <f>0</f>
        <v>0</v>
      </c>
      <c r="AD63" s="130">
        <f>0</f>
        <v>0</v>
      </c>
      <c r="AE63" s="130">
        <f>0</f>
        <v>0</v>
      </c>
      <c r="AF63" s="130">
        <f>0</f>
        <v>0</v>
      </c>
      <c r="AG63" s="130">
        <f>0</f>
        <v>0</v>
      </c>
      <c r="AH63" s="130">
        <f>0</f>
        <v>0</v>
      </c>
      <c r="AI63" s="130">
        <f>0</f>
        <v>0</v>
      </c>
      <c r="AJ63" s="130">
        <f>0</f>
        <v>0</v>
      </c>
      <c r="AK63" s="130">
        <f>0</f>
        <v>0</v>
      </c>
      <c r="AL63" s="130">
        <f>0</f>
        <v>0</v>
      </c>
      <c r="AM63" s="130">
        <f>0</f>
        <v>0</v>
      </c>
      <c r="AN63" s="130">
        <f>0</f>
        <v>0</v>
      </c>
      <c r="AO63" s="130">
        <f>0</f>
        <v>0</v>
      </c>
    </row>
    <row r="64" spans="1:31" ht="12">
      <c r="A64" s="4"/>
      <c r="B64" s="5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5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5" t="s">
        <v>163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142"/>
  <sheetViews>
    <sheetView zoomScalePageLayoutView="0" workbookViewId="0" topLeftCell="F1">
      <selection activeCell="O4" sqref="O4:O14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101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97">
        <v>2012</v>
      </c>
      <c r="B4" s="98" t="s">
        <v>193</v>
      </c>
      <c r="C4" s="98" t="s">
        <v>194</v>
      </c>
      <c r="D4" s="99">
        <v>1002052</v>
      </c>
      <c r="E4" s="99">
        <v>2</v>
      </c>
      <c r="F4" s="99"/>
      <c r="G4" s="99">
        <v>42</v>
      </c>
      <c r="H4" s="99">
        <v>19</v>
      </c>
      <c r="I4" s="99" t="s">
        <v>195</v>
      </c>
      <c r="J4" s="99" t="s">
        <v>72</v>
      </c>
      <c r="K4" s="99" t="b">
        <v>1</v>
      </c>
      <c r="L4" s="95">
        <v>2012</v>
      </c>
      <c r="M4" s="96">
        <v>0.117</v>
      </c>
      <c r="N4" s="100">
        <v>40886</v>
      </c>
      <c r="O4" s="100">
        <v>40909</v>
      </c>
    </row>
    <row r="5" spans="1:15" ht="14.25">
      <c r="A5" s="97">
        <v>2012</v>
      </c>
      <c r="B5" s="98">
        <v>2</v>
      </c>
      <c r="C5" s="98" t="s">
        <v>194</v>
      </c>
      <c r="D5" s="99">
        <v>1002052</v>
      </c>
      <c r="E5" s="99">
        <v>2</v>
      </c>
      <c r="F5" s="99"/>
      <c r="G5" s="99">
        <v>42</v>
      </c>
      <c r="H5" s="99">
        <v>19</v>
      </c>
      <c r="I5" s="99" t="s">
        <v>195</v>
      </c>
      <c r="J5" s="99" t="s">
        <v>72</v>
      </c>
      <c r="K5" s="99" t="b">
        <v>1</v>
      </c>
      <c r="L5" s="95">
        <v>2014</v>
      </c>
      <c r="M5" s="96">
        <v>0.0862</v>
      </c>
      <c r="N5" s="100">
        <v>40886</v>
      </c>
      <c r="O5" s="100">
        <v>40909</v>
      </c>
    </row>
    <row r="6" spans="1:15" ht="14.25">
      <c r="A6" s="97">
        <v>2012</v>
      </c>
      <c r="B6" s="98">
        <v>2</v>
      </c>
      <c r="C6" s="98" t="s">
        <v>194</v>
      </c>
      <c r="D6" s="99">
        <v>1002052</v>
      </c>
      <c r="E6" s="99">
        <v>2</v>
      </c>
      <c r="F6" s="99"/>
      <c r="G6" s="99">
        <v>20</v>
      </c>
      <c r="H6" s="99">
        <v>7</v>
      </c>
      <c r="I6" s="99" t="s">
        <v>196</v>
      </c>
      <c r="J6" s="99" t="s">
        <v>12</v>
      </c>
      <c r="K6" s="99" t="b">
        <v>1</v>
      </c>
      <c r="L6" s="95">
        <v>2013</v>
      </c>
      <c r="M6" s="96">
        <v>2064785.2</v>
      </c>
      <c r="N6" s="100">
        <v>40886</v>
      </c>
      <c r="O6" s="100">
        <v>40909</v>
      </c>
    </row>
    <row r="7" spans="1:15" ht="14.25">
      <c r="A7" s="97">
        <v>2012</v>
      </c>
      <c r="B7" s="98">
        <v>2</v>
      </c>
      <c r="C7" s="98" t="s">
        <v>194</v>
      </c>
      <c r="D7" s="99">
        <v>1002052</v>
      </c>
      <c r="E7" s="99">
        <v>2</v>
      </c>
      <c r="F7" s="99"/>
      <c r="G7" s="99">
        <v>20</v>
      </c>
      <c r="H7" s="99">
        <v>7</v>
      </c>
      <c r="I7" s="99" t="s">
        <v>196</v>
      </c>
      <c r="J7" s="99" t="s">
        <v>12</v>
      </c>
      <c r="K7" s="99" t="b">
        <v>1</v>
      </c>
      <c r="L7" s="95">
        <v>2012</v>
      </c>
      <c r="M7" s="96">
        <v>1515463.01</v>
      </c>
      <c r="N7" s="100">
        <v>40886</v>
      </c>
      <c r="O7" s="100">
        <v>40909</v>
      </c>
    </row>
    <row r="8" spans="1:15" ht="14.25">
      <c r="A8" s="97">
        <v>2012</v>
      </c>
      <c r="B8" s="98">
        <v>2</v>
      </c>
      <c r="C8" s="98" t="s">
        <v>194</v>
      </c>
      <c r="D8" s="99">
        <v>1002052</v>
      </c>
      <c r="E8" s="99">
        <v>2</v>
      </c>
      <c r="F8" s="99"/>
      <c r="G8" s="99">
        <v>20</v>
      </c>
      <c r="H8" s="99">
        <v>7</v>
      </c>
      <c r="I8" s="99" t="s">
        <v>196</v>
      </c>
      <c r="J8" s="99" t="s">
        <v>12</v>
      </c>
      <c r="K8" s="99" t="b">
        <v>1</v>
      </c>
      <c r="L8" s="95">
        <v>2014</v>
      </c>
      <c r="M8" s="96">
        <v>1200394.2</v>
      </c>
      <c r="N8" s="100">
        <v>40886</v>
      </c>
      <c r="O8" s="100">
        <v>40909</v>
      </c>
    </row>
    <row r="9" spans="1:15" ht="14.25">
      <c r="A9" s="97">
        <v>2012</v>
      </c>
      <c r="B9" s="98">
        <v>2</v>
      </c>
      <c r="C9" s="98" t="s">
        <v>194</v>
      </c>
      <c r="D9" s="99">
        <v>1002052</v>
      </c>
      <c r="E9" s="99">
        <v>2</v>
      </c>
      <c r="F9" s="99"/>
      <c r="G9" s="99">
        <v>20</v>
      </c>
      <c r="H9" s="99">
        <v>7</v>
      </c>
      <c r="I9" s="99" t="s">
        <v>196</v>
      </c>
      <c r="J9" s="99" t="s">
        <v>12</v>
      </c>
      <c r="K9" s="99" t="b">
        <v>1</v>
      </c>
      <c r="L9" s="95">
        <v>2015</v>
      </c>
      <c r="M9" s="96">
        <v>498487</v>
      </c>
      <c r="N9" s="100">
        <v>40886</v>
      </c>
      <c r="O9" s="100">
        <v>40909</v>
      </c>
    </row>
    <row r="10" spans="1:15" ht="14.25">
      <c r="A10" s="97">
        <v>2012</v>
      </c>
      <c r="B10" s="98">
        <v>2</v>
      </c>
      <c r="C10" s="98" t="s">
        <v>194</v>
      </c>
      <c r="D10" s="99">
        <v>1002052</v>
      </c>
      <c r="E10" s="99">
        <v>2</v>
      </c>
      <c r="F10" s="99"/>
      <c r="G10" s="99">
        <v>27</v>
      </c>
      <c r="H10" s="99">
        <v>10</v>
      </c>
      <c r="I10" s="99"/>
      <c r="J10" s="99" t="s">
        <v>18</v>
      </c>
      <c r="K10" s="99" t="b">
        <v>0</v>
      </c>
      <c r="L10" s="95">
        <v>2014</v>
      </c>
      <c r="M10" s="96">
        <v>3808475.8</v>
      </c>
      <c r="N10" s="100">
        <v>40886</v>
      </c>
      <c r="O10" s="100">
        <v>40909</v>
      </c>
    </row>
    <row r="11" spans="1:15" ht="14.25">
      <c r="A11" s="97">
        <v>2012</v>
      </c>
      <c r="B11" s="98">
        <v>2</v>
      </c>
      <c r="C11" s="98" t="s">
        <v>194</v>
      </c>
      <c r="D11" s="99">
        <v>1002052</v>
      </c>
      <c r="E11" s="99">
        <v>2</v>
      </c>
      <c r="F11" s="99"/>
      <c r="G11" s="99">
        <v>27</v>
      </c>
      <c r="H11" s="99">
        <v>10</v>
      </c>
      <c r="I11" s="99"/>
      <c r="J11" s="99" t="s">
        <v>18</v>
      </c>
      <c r="K11" s="99" t="b">
        <v>0</v>
      </c>
      <c r="L11" s="95">
        <v>2013</v>
      </c>
      <c r="M11" s="96">
        <v>2870134.8</v>
      </c>
      <c r="N11" s="100">
        <v>40886</v>
      </c>
      <c r="O11" s="100">
        <v>40909</v>
      </c>
    </row>
    <row r="12" spans="1:15" ht="14.25">
      <c r="A12" s="97">
        <v>2012</v>
      </c>
      <c r="B12" s="98">
        <v>2</v>
      </c>
      <c r="C12" s="98" t="s">
        <v>194</v>
      </c>
      <c r="D12" s="99">
        <v>1002052</v>
      </c>
      <c r="E12" s="99">
        <v>2</v>
      </c>
      <c r="F12" s="99"/>
      <c r="G12" s="99">
        <v>27</v>
      </c>
      <c r="H12" s="99">
        <v>10</v>
      </c>
      <c r="I12" s="99"/>
      <c r="J12" s="99" t="s">
        <v>18</v>
      </c>
      <c r="K12" s="99" t="b">
        <v>0</v>
      </c>
      <c r="L12" s="95">
        <v>2015</v>
      </c>
      <c r="M12" s="96">
        <v>3314693</v>
      </c>
      <c r="N12" s="100">
        <v>40886</v>
      </c>
      <c r="O12" s="100">
        <v>40909</v>
      </c>
    </row>
    <row r="13" spans="1:15" ht="14.25">
      <c r="A13" s="97">
        <v>2012</v>
      </c>
      <c r="B13" s="98">
        <v>2</v>
      </c>
      <c r="C13" s="98" t="s">
        <v>194</v>
      </c>
      <c r="D13" s="99">
        <v>1002052</v>
      </c>
      <c r="E13" s="99">
        <v>2</v>
      </c>
      <c r="F13" s="99"/>
      <c r="G13" s="99">
        <v>27</v>
      </c>
      <c r="H13" s="99">
        <v>10</v>
      </c>
      <c r="I13" s="99"/>
      <c r="J13" s="99" t="s">
        <v>18</v>
      </c>
      <c r="K13" s="99" t="b">
        <v>0</v>
      </c>
      <c r="L13" s="95">
        <v>2012</v>
      </c>
      <c r="M13" s="96">
        <v>4915600</v>
      </c>
      <c r="N13" s="100">
        <v>40886</v>
      </c>
      <c r="O13" s="100">
        <v>40909</v>
      </c>
    </row>
    <row r="14" spans="1:15" ht="14.25">
      <c r="A14" s="97">
        <v>2012</v>
      </c>
      <c r="B14" s="98">
        <v>2</v>
      </c>
      <c r="C14" s="98" t="s">
        <v>194</v>
      </c>
      <c r="D14" s="99">
        <v>1002052</v>
      </c>
      <c r="E14" s="99">
        <v>2</v>
      </c>
      <c r="F14" s="99"/>
      <c r="G14" s="99">
        <v>43</v>
      </c>
      <c r="H14" s="99" t="s">
        <v>144</v>
      </c>
      <c r="I14" s="99" t="s">
        <v>197</v>
      </c>
      <c r="J14" s="99" t="s">
        <v>74</v>
      </c>
      <c r="K14" s="99" t="b">
        <v>0</v>
      </c>
      <c r="L14" s="95">
        <v>2015</v>
      </c>
      <c r="M14" s="96">
        <v>0.0382</v>
      </c>
      <c r="N14" s="100">
        <v>40886</v>
      </c>
      <c r="O14" s="100">
        <v>40909</v>
      </c>
    </row>
    <row r="15" spans="1:15" ht="14.25">
      <c r="A15" s="97">
        <v>2012</v>
      </c>
      <c r="B15" s="98">
        <v>2</v>
      </c>
      <c r="C15" s="98" t="s">
        <v>194</v>
      </c>
      <c r="D15" s="99">
        <v>1002052</v>
      </c>
      <c r="E15" s="99">
        <v>2</v>
      </c>
      <c r="F15" s="99"/>
      <c r="G15" s="99">
        <v>43</v>
      </c>
      <c r="H15" s="99" t="s">
        <v>144</v>
      </c>
      <c r="I15" s="99" t="s">
        <v>197</v>
      </c>
      <c r="J15" s="99" t="s">
        <v>74</v>
      </c>
      <c r="K15" s="99" t="b">
        <v>0</v>
      </c>
      <c r="L15" s="95">
        <v>2014</v>
      </c>
      <c r="M15" s="96">
        <v>0.0862</v>
      </c>
      <c r="N15" s="100">
        <v>40886</v>
      </c>
      <c r="O15" s="100">
        <v>40909</v>
      </c>
    </row>
    <row r="16" spans="1:15" ht="14.25">
      <c r="A16" s="97">
        <v>2012</v>
      </c>
      <c r="B16" s="98">
        <v>2</v>
      </c>
      <c r="C16" s="98" t="s">
        <v>194</v>
      </c>
      <c r="D16" s="99">
        <v>1002052</v>
      </c>
      <c r="E16" s="99">
        <v>2</v>
      </c>
      <c r="F16" s="99"/>
      <c r="G16" s="99">
        <v>43</v>
      </c>
      <c r="H16" s="99" t="s">
        <v>144</v>
      </c>
      <c r="I16" s="99" t="s">
        <v>197</v>
      </c>
      <c r="J16" s="99" t="s">
        <v>74</v>
      </c>
      <c r="K16" s="99" t="b">
        <v>0</v>
      </c>
      <c r="L16" s="95">
        <v>2012</v>
      </c>
      <c r="M16" s="96">
        <v>0.0707</v>
      </c>
      <c r="N16" s="100">
        <v>40886</v>
      </c>
      <c r="O16" s="100">
        <v>40909</v>
      </c>
    </row>
    <row r="17" spans="1:15" ht="14.25">
      <c r="A17" s="97">
        <v>2012</v>
      </c>
      <c r="B17" s="98">
        <v>2</v>
      </c>
      <c r="C17" s="98" t="s">
        <v>194</v>
      </c>
      <c r="D17" s="99">
        <v>1002052</v>
      </c>
      <c r="E17" s="99">
        <v>2</v>
      </c>
      <c r="F17" s="99"/>
      <c r="G17" s="99">
        <v>43</v>
      </c>
      <c r="H17" s="99" t="s">
        <v>144</v>
      </c>
      <c r="I17" s="99" t="s">
        <v>197</v>
      </c>
      <c r="J17" s="99" t="s">
        <v>74</v>
      </c>
      <c r="K17" s="99" t="b">
        <v>0</v>
      </c>
      <c r="L17" s="95">
        <v>2013</v>
      </c>
      <c r="M17" s="96">
        <v>0.0948</v>
      </c>
      <c r="N17" s="100">
        <v>40886</v>
      </c>
      <c r="O17" s="100">
        <v>40909</v>
      </c>
    </row>
    <row r="18" spans="1:15" ht="14.25">
      <c r="A18" s="97">
        <v>2012</v>
      </c>
      <c r="B18" s="98">
        <v>2</v>
      </c>
      <c r="C18" s="98" t="s">
        <v>194</v>
      </c>
      <c r="D18" s="99">
        <v>1002052</v>
      </c>
      <c r="E18" s="99">
        <v>2</v>
      </c>
      <c r="F18" s="99"/>
      <c r="G18" s="99">
        <v>57</v>
      </c>
      <c r="H18" s="99">
        <v>30</v>
      </c>
      <c r="I18" s="99" t="s">
        <v>198</v>
      </c>
      <c r="J18" s="99" t="s">
        <v>153</v>
      </c>
      <c r="K18" s="99" t="b">
        <v>0</v>
      </c>
      <c r="L18" s="95">
        <v>2012</v>
      </c>
      <c r="M18" s="96">
        <v>1405463.01</v>
      </c>
      <c r="N18" s="100">
        <v>40886</v>
      </c>
      <c r="O18" s="100">
        <v>40909</v>
      </c>
    </row>
    <row r="19" spans="1:15" ht="14.25">
      <c r="A19" s="97">
        <v>2012</v>
      </c>
      <c r="B19" s="98">
        <v>2</v>
      </c>
      <c r="C19" s="98" t="s">
        <v>194</v>
      </c>
      <c r="D19" s="99">
        <v>1002052</v>
      </c>
      <c r="E19" s="99">
        <v>2</v>
      </c>
      <c r="F19" s="99"/>
      <c r="G19" s="99">
        <v>57</v>
      </c>
      <c r="H19" s="99">
        <v>30</v>
      </c>
      <c r="I19" s="99" t="s">
        <v>198</v>
      </c>
      <c r="J19" s="99" t="s">
        <v>153</v>
      </c>
      <c r="K19" s="99" t="b">
        <v>0</v>
      </c>
      <c r="L19" s="95">
        <v>2014</v>
      </c>
      <c r="M19" s="96">
        <v>1120394.2</v>
      </c>
      <c r="N19" s="100">
        <v>40886</v>
      </c>
      <c r="O19" s="100">
        <v>40909</v>
      </c>
    </row>
    <row r="20" spans="1:15" ht="14.25">
      <c r="A20" s="97">
        <v>2012</v>
      </c>
      <c r="B20" s="98">
        <v>2</v>
      </c>
      <c r="C20" s="98" t="s">
        <v>194</v>
      </c>
      <c r="D20" s="99">
        <v>1002052</v>
      </c>
      <c r="E20" s="99">
        <v>2</v>
      </c>
      <c r="F20" s="99"/>
      <c r="G20" s="99">
        <v>57</v>
      </c>
      <c r="H20" s="99">
        <v>30</v>
      </c>
      <c r="I20" s="99" t="s">
        <v>198</v>
      </c>
      <c r="J20" s="99" t="s">
        <v>153</v>
      </c>
      <c r="K20" s="99" t="b">
        <v>0</v>
      </c>
      <c r="L20" s="95">
        <v>2015</v>
      </c>
      <c r="M20" s="96">
        <v>468487</v>
      </c>
      <c r="N20" s="100">
        <v>40886</v>
      </c>
      <c r="O20" s="100">
        <v>40909</v>
      </c>
    </row>
    <row r="21" spans="1:15" ht="14.25">
      <c r="A21" s="97">
        <v>2012</v>
      </c>
      <c r="B21" s="98">
        <v>2</v>
      </c>
      <c r="C21" s="98" t="s">
        <v>194</v>
      </c>
      <c r="D21" s="99">
        <v>1002052</v>
      </c>
      <c r="E21" s="99">
        <v>2</v>
      </c>
      <c r="F21" s="99"/>
      <c r="G21" s="99">
        <v>57</v>
      </c>
      <c r="H21" s="99">
        <v>30</v>
      </c>
      <c r="I21" s="99" t="s">
        <v>198</v>
      </c>
      <c r="J21" s="99" t="s">
        <v>153</v>
      </c>
      <c r="K21" s="99" t="b">
        <v>0</v>
      </c>
      <c r="L21" s="95">
        <v>2013</v>
      </c>
      <c r="M21" s="96">
        <v>1904785.2</v>
      </c>
      <c r="N21" s="100">
        <v>40886</v>
      </c>
      <c r="O21" s="100">
        <v>40909</v>
      </c>
    </row>
    <row r="22" spans="1:15" ht="14.25">
      <c r="A22" s="97">
        <v>2012</v>
      </c>
      <c r="B22" s="98">
        <v>2</v>
      </c>
      <c r="C22" s="98" t="s">
        <v>194</v>
      </c>
      <c r="D22" s="99">
        <v>1002052</v>
      </c>
      <c r="E22" s="99">
        <v>2</v>
      </c>
      <c r="F22" s="99"/>
      <c r="G22" s="99">
        <v>28</v>
      </c>
      <c r="H22" s="99" t="s">
        <v>132</v>
      </c>
      <c r="I22" s="99"/>
      <c r="J22" s="99" t="s">
        <v>133</v>
      </c>
      <c r="K22" s="99" t="b">
        <v>0</v>
      </c>
      <c r="L22" s="95">
        <v>2012</v>
      </c>
      <c r="M22" s="96">
        <v>2100000</v>
      </c>
      <c r="N22" s="100">
        <v>40886</v>
      </c>
      <c r="O22" s="100">
        <v>40909</v>
      </c>
    </row>
    <row r="23" spans="1:15" ht="14.25">
      <c r="A23" s="97">
        <v>2012</v>
      </c>
      <c r="B23" s="98">
        <v>2</v>
      </c>
      <c r="C23" s="98" t="s">
        <v>194</v>
      </c>
      <c r="D23" s="99">
        <v>1002052</v>
      </c>
      <c r="E23" s="99">
        <v>2</v>
      </c>
      <c r="F23" s="99"/>
      <c r="G23" s="99">
        <v>30</v>
      </c>
      <c r="H23" s="99">
        <v>11</v>
      </c>
      <c r="I23" s="99"/>
      <c r="J23" s="99" t="s">
        <v>62</v>
      </c>
      <c r="K23" s="99" t="b">
        <v>1</v>
      </c>
      <c r="L23" s="95">
        <v>2012</v>
      </c>
      <c r="M23" s="96">
        <v>2167131.01</v>
      </c>
      <c r="N23" s="100">
        <v>40886</v>
      </c>
      <c r="O23" s="100">
        <v>40909</v>
      </c>
    </row>
    <row r="24" spans="1:15" ht="14.25">
      <c r="A24" s="97">
        <v>2012</v>
      </c>
      <c r="B24" s="98">
        <v>2</v>
      </c>
      <c r="C24" s="98" t="s">
        <v>194</v>
      </c>
      <c r="D24" s="99">
        <v>1002052</v>
      </c>
      <c r="E24" s="99">
        <v>2</v>
      </c>
      <c r="F24" s="99"/>
      <c r="G24" s="99">
        <v>4</v>
      </c>
      <c r="H24" s="99" t="s">
        <v>98</v>
      </c>
      <c r="I24" s="99"/>
      <c r="J24" s="99" t="s">
        <v>99</v>
      </c>
      <c r="K24" s="99" t="b">
        <v>1</v>
      </c>
      <c r="L24" s="95">
        <v>2014</v>
      </c>
      <c r="M24" s="96">
        <v>1480170</v>
      </c>
      <c r="N24" s="100">
        <v>40886</v>
      </c>
      <c r="O24" s="100">
        <v>40909</v>
      </c>
    </row>
    <row r="25" spans="1:15" ht="14.25">
      <c r="A25" s="97">
        <v>2012</v>
      </c>
      <c r="B25" s="98">
        <v>2</v>
      </c>
      <c r="C25" s="98" t="s">
        <v>194</v>
      </c>
      <c r="D25" s="99">
        <v>1002052</v>
      </c>
      <c r="E25" s="99">
        <v>2</v>
      </c>
      <c r="F25" s="99"/>
      <c r="G25" s="99">
        <v>4</v>
      </c>
      <c r="H25" s="99" t="s">
        <v>98</v>
      </c>
      <c r="I25" s="99"/>
      <c r="J25" s="99" t="s">
        <v>99</v>
      </c>
      <c r="K25" s="99" t="b">
        <v>1</v>
      </c>
      <c r="L25" s="95">
        <v>2013</v>
      </c>
      <c r="M25" s="96">
        <v>1316228</v>
      </c>
      <c r="N25" s="100">
        <v>40886</v>
      </c>
      <c r="O25" s="100">
        <v>40909</v>
      </c>
    </row>
    <row r="26" spans="1:15" ht="14.25">
      <c r="A26" s="97">
        <v>2012</v>
      </c>
      <c r="B26" s="98">
        <v>2</v>
      </c>
      <c r="C26" s="98" t="s">
        <v>194</v>
      </c>
      <c r="D26" s="99">
        <v>1002052</v>
      </c>
      <c r="E26" s="99">
        <v>2</v>
      </c>
      <c r="F26" s="99"/>
      <c r="G26" s="99">
        <v>4</v>
      </c>
      <c r="H26" s="99" t="s">
        <v>98</v>
      </c>
      <c r="I26" s="99"/>
      <c r="J26" s="99" t="s">
        <v>99</v>
      </c>
      <c r="K26" s="99" t="b">
        <v>1</v>
      </c>
      <c r="L26" s="95">
        <v>2012</v>
      </c>
      <c r="M26" s="96">
        <v>1129533</v>
      </c>
      <c r="N26" s="100">
        <v>40886</v>
      </c>
      <c r="O26" s="100">
        <v>40909</v>
      </c>
    </row>
    <row r="27" spans="1:15" ht="14.25">
      <c r="A27" s="97">
        <v>2012</v>
      </c>
      <c r="B27" s="98">
        <v>2</v>
      </c>
      <c r="C27" s="98" t="s">
        <v>194</v>
      </c>
      <c r="D27" s="99">
        <v>1002052</v>
      </c>
      <c r="E27" s="99">
        <v>2</v>
      </c>
      <c r="F27" s="99"/>
      <c r="G27" s="99">
        <v>14</v>
      </c>
      <c r="H27" s="99">
        <v>3</v>
      </c>
      <c r="I27" s="99" t="s">
        <v>199</v>
      </c>
      <c r="J27" s="99" t="s">
        <v>116</v>
      </c>
      <c r="K27" s="99" t="b">
        <v>1</v>
      </c>
      <c r="L27" s="95">
        <v>2014</v>
      </c>
      <c r="M27" s="96">
        <v>5008870</v>
      </c>
      <c r="N27" s="100">
        <v>40886</v>
      </c>
      <c r="O27" s="100">
        <v>40909</v>
      </c>
    </row>
    <row r="28" spans="1:15" ht="14.25">
      <c r="A28" s="97">
        <v>2012</v>
      </c>
      <c r="B28" s="98">
        <v>2</v>
      </c>
      <c r="C28" s="98" t="s">
        <v>194</v>
      </c>
      <c r="D28" s="99">
        <v>1002052</v>
      </c>
      <c r="E28" s="99">
        <v>2</v>
      </c>
      <c r="F28" s="99"/>
      <c r="G28" s="99">
        <v>14</v>
      </c>
      <c r="H28" s="99">
        <v>3</v>
      </c>
      <c r="I28" s="99" t="s">
        <v>199</v>
      </c>
      <c r="J28" s="99" t="s">
        <v>116</v>
      </c>
      <c r="K28" s="99" t="b">
        <v>1</v>
      </c>
      <c r="L28" s="95">
        <v>2015</v>
      </c>
      <c r="M28" s="96">
        <v>3813180</v>
      </c>
      <c r="N28" s="100">
        <v>40886</v>
      </c>
      <c r="O28" s="100">
        <v>40909</v>
      </c>
    </row>
    <row r="29" spans="1:15" ht="14.25">
      <c r="A29" s="97">
        <v>2012</v>
      </c>
      <c r="B29" s="98">
        <v>2</v>
      </c>
      <c r="C29" s="98" t="s">
        <v>194</v>
      </c>
      <c r="D29" s="99">
        <v>1002052</v>
      </c>
      <c r="E29" s="99">
        <v>2</v>
      </c>
      <c r="F29" s="99"/>
      <c r="G29" s="99">
        <v>14</v>
      </c>
      <c r="H29" s="99">
        <v>3</v>
      </c>
      <c r="I29" s="99" t="s">
        <v>199</v>
      </c>
      <c r="J29" s="99" t="s">
        <v>116</v>
      </c>
      <c r="K29" s="99" t="b">
        <v>1</v>
      </c>
      <c r="L29" s="95">
        <v>2013</v>
      </c>
      <c r="M29" s="96">
        <v>4934920</v>
      </c>
      <c r="N29" s="100">
        <v>40886</v>
      </c>
      <c r="O29" s="100">
        <v>40909</v>
      </c>
    </row>
    <row r="30" spans="1:15" ht="14.25">
      <c r="A30" s="97">
        <v>2012</v>
      </c>
      <c r="B30" s="98">
        <v>2</v>
      </c>
      <c r="C30" s="98" t="s">
        <v>194</v>
      </c>
      <c r="D30" s="99">
        <v>1002052</v>
      </c>
      <c r="E30" s="99">
        <v>2</v>
      </c>
      <c r="F30" s="99"/>
      <c r="G30" s="99">
        <v>14</v>
      </c>
      <c r="H30" s="99">
        <v>3</v>
      </c>
      <c r="I30" s="99" t="s">
        <v>199</v>
      </c>
      <c r="J30" s="99" t="s">
        <v>116</v>
      </c>
      <c r="K30" s="99" t="b">
        <v>1</v>
      </c>
      <c r="L30" s="95">
        <v>2012</v>
      </c>
      <c r="M30" s="96">
        <v>4263932</v>
      </c>
      <c r="N30" s="100">
        <v>40886</v>
      </c>
      <c r="O30" s="100">
        <v>40909</v>
      </c>
    </row>
    <row r="31" spans="1:15" ht="14.25">
      <c r="A31" s="97">
        <v>2012</v>
      </c>
      <c r="B31" s="98">
        <v>2</v>
      </c>
      <c r="C31" s="98" t="s">
        <v>194</v>
      </c>
      <c r="D31" s="99">
        <v>1002052</v>
      </c>
      <c r="E31" s="99">
        <v>2</v>
      </c>
      <c r="F31" s="99"/>
      <c r="G31" s="99">
        <v>26</v>
      </c>
      <c r="H31" s="99">
        <v>9</v>
      </c>
      <c r="I31" s="99" t="s">
        <v>200</v>
      </c>
      <c r="J31" s="99" t="s">
        <v>131</v>
      </c>
      <c r="K31" s="99" t="b">
        <v>0</v>
      </c>
      <c r="L31" s="95">
        <v>2012</v>
      </c>
      <c r="M31" s="96">
        <v>2748468.99</v>
      </c>
      <c r="N31" s="100">
        <v>40886</v>
      </c>
      <c r="O31" s="100">
        <v>40909</v>
      </c>
    </row>
    <row r="32" spans="1:15" ht="14.25">
      <c r="A32" s="97">
        <v>2012</v>
      </c>
      <c r="B32" s="98">
        <v>2</v>
      </c>
      <c r="C32" s="98" t="s">
        <v>194</v>
      </c>
      <c r="D32" s="99">
        <v>1002052</v>
      </c>
      <c r="E32" s="99">
        <v>2</v>
      </c>
      <c r="F32" s="99"/>
      <c r="G32" s="99">
        <v>26</v>
      </c>
      <c r="H32" s="99">
        <v>9</v>
      </c>
      <c r="I32" s="99" t="s">
        <v>200</v>
      </c>
      <c r="J32" s="99" t="s">
        <v>131</v>
      </c>
      <c r="K32" s="99" t="b">
        <v>0</v>
      </c>
      <c r="L32" s="95">
        <v>2015</v>
      </c>
      <c r="M32" s="96">
        <v>3314693</v>
      </c>
      <c r="N32" s="100">
        <v>40886</v>
      </c>
      <c r="O32" s="100">
        <v>40909</v>
      </c>
    </row>
    <row r="33" spans="1:15" ht="14.25">
      <c r="A33" s="97">
        <v>2012</v>
      </c>
      <c r="B33" s="98">
        <v>2</v>
      </c>
      <c r="C33" s="98" t="s">
        <v>194</v>
      </c>
      <c r="D33" s="99">
        <v>1002052</v>
      </c>
      <c r="E33" s="99">
        <v>2</v>
      </c>
      <c r="F33" s="99"/>
      <c r="G33" s="99">
        <v>26</v>
      </c>
      <c r="H33" s="99">
        <v>9</v>
      </c>
      <c r="I33" s="99" t="s">
        <v>200</v>
      </c>
      <c r="J33" s="99" t="s">
        <v>131</v>
      </c>
      <c r="K33" s="99" t="b">
        <v>0</v>
      </c>
      <c r="L33" s="95">
        <v>2013</v>
      </c>
      <c r="M33" s="96">
        <v>2870134.8</v>
      </c>
      <c r="N33" s="100">
        <v>40886</v>
      </c>
      <c r="O33" s="100">
        <v>40909</v>
      </c>
    </row>
    <row r="34" spans="1:15" ht="14.25">
      <c r="A34" s="97">
        <v>2012</v>
      </c>
      <c r="B34" s="98">
        <v>2</v>
      </c>
      <c r="C34" s="98" t="s">
        <v>194</v>
      </c>
      <c r="D34" s="99">
        <v>1002052</v>
      </c>
      <c r="E34" s="99">
        <v>2</v>
      </c>
      <c r="F34" s="99"/>
      <c r="G34" s="99">
        <v>26</v>
      </c>
      <c r="H34" s="99">
        <v>9</v>
      </c>
      <c r="I34" s="99" t="s">
        <v>200</v>
      </c>
      <c r="J34" s="99" t="s">
        <v>131</v>
      </c>
      <c r="K34" s="99" t="b">
        <v>0</v>
      </c>
      <c r="L34" s="95">
        <v>2014</v>
      </c>
      <c r="M34" s="96">
        <v>3808475.8</v>
      </c>
      <c r="N34" s="100">
        <v>40886</v>
      </c>
      <c r="O34" s="100">
        <v>40909</v>
      </c>
    </row>
    <row r="35" spans="1:15" ht="14.25">
      <c r="A35" s="97">
        <v>2012</v>
      </c>
      <c r="B35" s="98">
        <v>2</v>
      </c>
      <c r="C35" s="98" t="s">
        <v>194</v>
      </c>
      <c r="D35" s="99">
        <v>1002052</v>
      </c>
      <c r="E35" s="99">
        <v>2</v>
      </c>
      <c r="F35" s="99"/>
      <c r="G35" s="99">
        <v>37</v>
      </c>
      <c r="H35" s="99">
        <v>16</v>
      </c>
      <c r="I35" s="99"/>
      <c r="J35" s="99" t="s">
        <v>140</v>
      </c>
      <c r="K35" s="99" t="b">
        <v>1</v>
      </c>
      <c r="L35" s="95">
        <v>2014</v>
      </c>
      <c r="M35" s="96">
        <v>1120394.2</v>
      </c>
      <c r="N35" s="100">
        <v>40886</v>
      </c>
      <c r="O35" s="100">
        <v>40909</v>
      </c>
    </row>
    <row r="36" spans="1:15" ht="14.25">
      <c r="A36" s="97">
        <v>2012</v>
      </c>
      <c r="B36" s="98">
        <v>2</v>
      </c>
      <c r="C36" s="98" t="s">
        <v>194</v>
      </c>
      <c r="D36" s="99">
        <v>1002052</v>
      </c>
      <c r="E36" s="99">
        <v>2</v>
      </c>
      <c r="F36" s="99"/>
      <c r="G36" s="99">
        <v>37</v>
      </c>
      <c r="H36" s="99">
        <v>16</v>
      </c>
      <c r="I36" s="99"/>
      <c r="J36" s="99" t="s">
        <v>140</v>
      </c>
      <c r="K36" s="99" t="b">
        <v>1</v>
      </c>
      <c r="L36" s="95">
        <v>2015</v>
      </c>
      <c r="M36" s="96">
        <v>468487</v>
      </c>
      <c r="N36" s="100">
        <v>40886</v>
      </c>
      <c r="O36" s="100">
        <v>40909</v>
      </c>
    </row>
    <row r="37" spans="1:15" ht="14.25">
      <c r="A37" s="97">
        <v>2012</v>
      </c>
      <c r="B37" s="98">
        <v>2</v>
      </c>
      <c r="C37" s="98" t="s">
        <v>194</v>
      </c>
      <c r="D37" s="99">
        <v>1002052</v>
      </c>
      <c r="E37" s="99">
        <v>2</v>
      </c>
      <c r="F37" s="99"/>
      <c r="G37" s="99">
        <v>37</v>
      </c>
      <c r="H37" s="99">
        <v>16</v>
      </c>
      <c r="I37" s="99"/>
      <c r="J37" s="99" t="s">
        <v>140</v>
      </c>
      <c r="K37" s="99" t="b">
        <v>1</v>
      </c>
      <c r="L37" s="95">
        <v>2013</v>
      </c>
      <c r="M37" s="96">
        <v>1904785.2</v>
      </c>
      <c r="N37" s="100">
        <v>40886</v>
      </c>
      <c r="O37" s="100">
        <v>40909</v>
      </c>
    </row>
    <row r="38" spans="1:15" ht="14.25">
      <c r="A38" s="97">
        <v>2012</v>
      </c>
      <c r="B38" s="98">
        <v>2</v>
      </c>
      <c r="C38" s="98" t="s">
        <v>194</v>
      </c>
      <c r="D38" s="99">
        <v>1002052</v>
      </c>
      <c r="E38" s="99">
        <v>2</v>
      </c>
      <c r="F38" s="99"/>
      <c r="G38" s="99">
        <v>7</v>
      </c>
      <c r="H38" s="99">
        <v>2</v>
      </c>
      <c r="I38" s="99"/>
      <c r="J38" s="99" t="s">
        <v>3</v>
      </c>
      <c r="K38" s="99" t="b">
        <v>1</v>
      </c>
      <c r="L38" s="95">
        <v>2012</v>
      </c>
      <c r="M38" s="96">
        <v>8603236</v>
      </c>
      <c r="N38" s="100">
        <v>40886</v>
      </c>
      <c r="O38" s="100">
        <v>40909</v>
      </c>
    </row>
    <row r="39" spans="1:15" ht="14.25">
      <c r="A39" s="97">
        <v>2012</v>
      </c>
      <c r="B39" s="98">
        <v>2</v>
      </c>
      <c r="C39" s="98" t="s">
        <v>194</v>
      </c>
      <c r="D39" s="99">
        <v>1002052</v>
      </c>
      <c r="E39" s="99">
        <v>2</v>
      </c>
      <c r="F39" s="99"/>
      <c r="G39" s="99">
        <v>7</v>
      </c>
      <c r="H39" s="99">
        <v>2</v>
      </c>
      <c r="I39" s="99"/>
      <c r="J39" s="99" t="s">
        <v>3</v>
      </c>
      <c r="K39" s="99" t="b">
        <v>1</v>
      </c>
      <c r="L39" s="95">
        <v>2014</v>
      </c>
      <c r="M39" s="96">
        <v>8919300</v>
      </c>
      <c r="N39" s="100">
        <v>40886</v>
      </c>
      <c r="O39" s="100">
        <v>40909</v>
      </c>
    </row>
    <row r="40" spans="1:15" ht="14.25">
      <c r="A40" s="97">
        <v>2012</v>
      </c>
      <c r="B40" s="98">
        <v>2</v>
      </c>
      <c r="C40" s="98" t="s">
        <v>194</v>
      </c>
      <c r="D40" s="99">
        <v>1002052</v>
      </c>
      <c r="E40" s="99">
        <v>2</v>
      </c>
      <c r="F40" s="99"/>
      <c r="G40" s="99">
        <v>7</v>
      </c>
      <c r="H40" s="99">
        <v>2</v>
      </c>
      <c r="I40" s="99"/>
      <c r="J40" s="99" t="s">
        <v>3</v>
      </c>
      <c r="K40" s="99" t="b">
        <v>1</v>
      </c>
      <c r="L40" s="95">
        <v>2013</v>
      </c>
      <c r="M40" s="96">
        <v>8706308</v>
      </c>
      <c r="N40" s="100">
        <v>40886</v>
      </c>
      <c r="O40" s="100">
        <v>40909</v>
      </c>
    </row>
    <row r="41" spans="1:15" ht="14.25">
      <c r="A41" s="97">
        <v>2012</v>
      </c>
      <c r="B41" s="98">
        <v>2</v>
      </c>
      <c r="C41" s="98" t="s">
        <v>194</v>
      </c>
      <c r="D41" s="99">
        <v>1002052</v>
      </c>
      <c r="E41" s="99">
        <v>2</v>
      </c>
      <c r="F41" s="99"/>
      <c r="G41" s="99">
        <v>7</v>
      </c>
      <c r="H41" s="99">
        <v>2</v>
      </c>
      <c r="I41" s="99"/>
      <c r="J41" s="99" t="s">
        <v>3</v>
      </c>
      <c r="K41" s="99" t="b">
        <v>1</v>
      </c>
      <c r="L41" s="95">
        <v>2015</v>
      </c>
      <c r="M41" s="96">
        <v>9239300</v>
      </c>
      <c r="N41" s="100">
        <v>40886</v>
      </c>
      <c r="O41" s="100">
        <v>40909</v>
      </c>
    </row>
    <row r="42" spans="1:15" ht="14.25">
      <c r="A42" s="97">
        <v>2012</v>
      </c>
      <c r="B42" s="98">
        <v>2</v>
      </c>
      <c r="C42" s="98" t="s">
        <v>194</v>
      </c>
      <c r="D42" s="99">
        <v>1002052</v>
      </c>
      <c r="E42" s="99">
        <v>2</v>
      </c>
      <c r="F42" s="99"/>
      <c r="G42" s="99">
        <v>22</v>
      </c>
      <c r="H42" s="99" t="s">
        <v>124</v>
      </c>
      <c r="I42" s="99"/>
      <c r="J42" s="99" t="s">
        <v>125</v>
      </c>
      <c r="K42" s="99" t="b">
        <v>1</v>
      </c>
      <c r="L42" s="95">
        <v>2013</v>
      </c>
      <c r="M42" s="96">
        <v>761668</v>
      </c>
      <c r="N42" s="100">
        <v>40886</v>
      </c>
      <c r="O42" s="100">
        <v>40909</v>
      </c>
    </row>
    <row r="43" spans="1:15" ht="14.25">
      <c r="A43" s="97">
        <v>2012</v>
      </c>
      <c r="B43" s="98">
        <v>2</v>
      </c>
      <c r="C43" s="98" t="s">
        <v>194</v>
      </c>
      <c r="D43" s="99">
        <v>1002052</v>
      </c>
      <c r="E43" s="99">
        <v>2</v>
      </c>
      <c r="F43" s="99"/>
      <c r="G43" s="99">
        <v>22</v>
      </c>
      <c r="H43" s="99" t="s">
        <v>124</v>
      </c>
      <c r="I43" s="99"/>
      <c r="J43" s="99" t="s">
        <v>125</v>
      </c>
      <c r="K43" s="99" t="b">
        <v>1</v>
      </c>
      <c r="L43" s="95">
        <v>2012</v>
      </c>
      <c r="M43" s="96">
        <v>595645.15</v>
      </c>
      <c r="N43" s="100">
        <v>40886</v>
      </c>
      <c r="O43" s="100">
        <v>40909</v>
      </c>
    </row>
    <row r="44" spans="1:15" ht="14.25">
      <c r="A44" s="97">
        <v>2012</v>
      </c>
      <c r="B44" s="98">
        <v>2</v>
      </c>
      <c r="C44" s="98" t="s">
        <v>194</v>
      </c>
      <c r="D44" s="99">
        <v>1002052</v>
      </c>
      <c r="E44" s="99">
        <v>2</v>
      </c>
      <c r="F44" s="99"/>
      <c r="G44" s="99">
        <v>21</v>
      </c>
      <c r="H44" s="99" t="s">
        <v>122</v>
      </c>
      <c r="I44" s="99"/>
      <c r="J44" s="99" t="s">
        <v>123</v>
      </c>
      <c r="K44" s="99" t="b">
        <v>1</v>
      </c>
      <c r="L44" s="95">
        <v>2012</v>
      </c>
      <c r="M44" s="96">
        <v>1405463.01</v>
      </c>
      <c r="N44" s="100">
        <v>40886</v>
      </c>
      <c r="O44" s="100">
        <v>40909</v>
      </c>
    </row>
    <row r="45" spans="1:15" ht="14.25">
      <c r="A45" s="97">
        <v>2012</v>
      </c>
      <c r="B45" s="98">
        <v>2</v>
      </c>
      <c r="C45" s="98" t="s">
        <v>194</v>
      </c>
      <c r="D45" s="99">
        <v>1002052</v>
      </c>
      <c r="E45" s="99">
        <v>2</v>
      </c>
      <c r="F45" s="99"/>
      <c r="G45" s="99">
        <v>21</v>
      </c>
      <c r="H45" s="99" t="s">
        <v>122</v>
      </c>
      <c r="I45" s="99"/>
      <c r="J45" s="99" t="s">
        <v>123</v>
      </c>
      <c r="K45" s="99" t="b">
        <v>1</v>
      </c>
      <c r="L45" s="95">
        <v>2013</v>
      </c>
      <c r="M45" s="96">
        <v>1904785.2</v>
      </c>
      <c r="N45" s="100">
        <v>40886</v>
      </c>
      <c r="O45" s="100">
        <v>40909</v>
      </c>
    </row>
    <row r="46" spans="1:15" ht="14.25">
      <c r="A46" s="97">
        <v>2012</v>
      </c>
      <c r="B46" s="98">
        <v>2</v>
      </c>
      <c r="C46" s="98" t="s">
        <v>194</v>
      </c>
      <c r="D46" s="99">
        <v>1002052</v>
      </c>
      <c r="E46" s="99">
        <v>2</v>
      </c>
      <c r="F46" s="99"/>
      <c r="G46" s="99">
        <v>21</v>
      </c>
      <c r="H46" s="99" t="s">
        <v>122</v>
      </c>
      <c r="I46" s="99"/>
      <c r="J46" s="99" t="s">
        <v>123</v>
      </c>
      <c r="K46" s="99" t="b">
        <v>1</v>
      </c>
      <c r="L46" s="95">
        <v>2015</v>
      </c>
      <c r="M46" s="96">
        <v>468487</v>
      </c>
      <c r="N46" s="100">
        <v>40886</v>
      </c>
      <c r="O46" s="100">
        <v>40909</v>
      </c>
    </row>
    <row r="47" spans="1:15" ht="14.25">
      <c r="A47" s="97">
        <v>2012</v>
      </c>
      <c r="B47" s="98">
        <v>2</v>
      </c>
      <c r="C47" s="98" t="s">
        <v>194</v>
      </c>
      <c r="D47" s="99">
        <v>1002052</v>
      </c>
      <c r="E47" s="99">
        <v>2</v>
      </c>
      <c r="F47" s="99"/>
      <c r="G47" s="99">
        <v>21</v>
      </c>
      <c r="H47" s="99" t="s">
        <v>122</v>
      </c>
      <c r="I47" s="99"/>
      <c r="J47" s="99" t="s">
        <v>123</v>
      </c>
      <c r="K47" s="99" t="b">
        <v>1</v>
      </c>
      <c r="L47" s="95">
        <v>2014</v>
      </c>
      <c r="M47" s="96">
        <v>1120394.2</v>
      </c>
      <c r="N47" s="100">
        <v>40886</v>
      </c>
      <c r="O47" s="100">
        <v>40909</v>
      </c>
    </row>
    <row r="48" spans="1:15" ht="14.25">
      <c r="A48" s="97">
        <v>2012</v>
      </c>
      <c r="B48" s="98">
        <v>2</v>
      </c>
      <c r="C48" s="98" t="s">
        <v>194</v>
      </c>
      <c r="D48" s="99">
        <v>1002052</v>
      </c>
      <c r="E48" s="99">
        <v>2</v>
      </c>
      <c r="F48" s="99"/>
      <c r="G48" s="99">
        <v>35</v>
      </c>
      <c r="H48" s="99">
        <v>14</v>
      </c>
      <c r="I48" s="99"/>
      <c r="J48" s="99" t="s">
        <v>68</v>
      </c>
      <c r="K48" s="99" t="b">
        <v>1</v>
      </c>
      <c r="L48" s="95">
        <v>2012</v>
      </c>
      <c r="M48" s="96">
        <v>761668</v>
      </c>
      <c r="N48" s="100">
        <v>40886</v>
      </c>
      <c r="O48" s="100">
        <v>40909</v>
      </c>
    </row>
    <row r="49" spans="1:15" ht="14.25">
      <c r="A49" s="97">
        <v>2012</v>
      </c>
      <c r="B49" s="98">
        <v>2</v>
      </c>
      <c r="C49" s="98" t="s">
        <v>194</v>
      </c>
      <c r="D49" s="99">
        <v>1002052</v>
      </c>
      <c r="E49" s="99">
        <v>2</v>
      </c>
      <c r="F49" s="99"/>
      <c r="G49" s="99">
        <v>48</v>
      </c>
      <c r="H49" s="99">
        <v>22</v>
      </c>
      <c r="I49" s="99" t="s">
        <v>201</v>
      </c>
      <c r="J49" s="99" t="s">
        <v>77</v>
      </c>
      <c r="K49" s="99" t="b">
        <v>0</v>
      </c>
      <c r="L49" s="95">
        <v>2012</v>
      </c>
      <c r="M49" s="96">
        <v>0.0707</v>
      </c>
      <c r="N49" s="100">
        <v>40886</v>
      </c>
      <c r="O49" s="100">
        <v>40909</v>
      </c>
    </row>
    <row r="50" spans="1:15" ht="14.25">
      <c r="A50" s="97">
        <v>2012</v>
      </c>
      <c r="B50" s="98">
        <v>2</v>
      </c>
      <c r="C50" s="98" t="s">
        <v>194</v>
      </c>
      <c r="D50" s="99">
        <v>1002052</v>
      </c>
      <c r="E50" s="99">
        <v>2</v>
      </c>
      <c r="F50" s="99"/>
      <c r="G50" s="99">
        <v>48</v>
      </c>
      <c r="H50" s="99">
        <v>22</v>
      </c>
      <c r="I50" s="99" t="s">
        <v>201</v>
      </c>
      <c r="J50" s="99" t="s">
        <v>77</v>
      </c>
      <c r="K50" s="99" t="b">
        <v>0</v>
      </c>
      <c r="L50" s="95">
        <v>2014</v>
      </c>
      <c r="M50" s="96">
        <v>0.0862</v>
      </c>
      <c r="N50" s="100">
        <v>40886</v>
      </c>
      <c r="O50" s="100">
        <v>40909</v>
      </c>
    </row>
    <row r="51" spans="1:15" ht="14.25">
      <c r="A51" s="97">
        <v>2012</v>
      </c>
      <c r="B51" s="98">
        <v>2</v>
      </c>
      <c r="C51" s="98" t="s">
        <v>194</v>
      </c>
      <c r="D51" s="99">
        <v>1002052</v>
      </c>
      <c r="E51" s="99">
        <v>2</v>
      </c>
      <c r="F51" s="99"/>
      <c r="G51" s="99">
        <v>48</v>
      </c>
      <c r="H51" s="99">
        <v>22</v>
      </c>
      <c r="I51" s="99" t="s">
        <v>201</v>
      </c>
      <c r="J51" s="99" t="s">
        <v>77</v>
      </c>
      <c r="K51" s="99" t="b">
        <v>0</v>
      </c>
      <c r="L51" s="95">
        <v>2015</v>
      </c>
      <c r="M51" s="96">
        <v>0.0382</v>
      </c>
      <c r="N51" s="100">
        <v>40886</v>
      </c>
      <c r="O51" s="100">
        <v>40909</v>
      </c>
    </row>
    <row r="52" spans="1:15" ht="14.25">
      <c r="A52" s="97">
        <v>2012</v>
      </c>
      <c r="B52" s="98">
        <v>2</v>
      </c>
      <c r="C52" s="98" t="s">
        <v>194</v>
      </c>
      <c r="D52" s="99">
        <v>1002052</v>
      </c>
      <c r="E52" s="99">
        <v>2</v>
      </c>
      <c r="F52" s="99"/>
      <c r="G52" s="99">
        <v>48</v>
      </c>
      <c r="H52" s="99">
        <v>22</v>
      </c>
      <c r="I52" s="99" t="s">
        <v>201</v>
      </c>
      <c r="J52" s="99" t="s">
        <v>77</v>
      </c>
      <c r="K52" s="99" t="b">
        <v>0</v>
      </c>
      <c r="L52" s="95">
        <v>2013</v>
      </c>
      <c r="M52" s="96">
        <v>0.0948</v>
      </c>
      <c r="N52" s="100">
        <v>40886</v>
      </c>
      <c r="O52" s="100">
        <v>40909</v>
      </c>
    </row>
    <row r="53" spans="1:15" ht="14.25">
      <c r="A53" s="97">
        <v>2012</v>
      </c>
      <c r="B53" s="98">
        <v>2</v>
      </c>
      <c r="C53" s="98" t="s">
        <v>194</v>
      </c>
      <c r="D53" s="99">
        <v>1002052</v>
      </c>
      <c r="E53" s="99">
        <v>2</v>
      </c>
      <c r="F53" s="99"/>
      <c r="G53" s="99">
        <v>2</v>
      </c>
      <c r="H53" s="99" t="s">
        <v>94</v>
      </c>
      <c r="I53" s="99"/>
      <c r="J53" s="99" t="s">
        <v>95</v>
      </c>
      <c r="K53" s="99" t="b">
        <v>1</v>
      </c>
      <c r="L53" s="95">
        <v>2013</v>
      </c>
      <c r="M53" s="96">
        <v>12325000</v>
      </c>
      <c r="N53" s="100">
        <v>40886</v>
      </c>
      <c r="O53" s="100">
        <v>40909</v>
      </c>
    </row>
    <row r="54" spans="1:15" ht="14.25">
      <c r="A54" s="97">
        <v>2012</v>
      </c>
      <c r="B54" s="98">
        <v>2</v>
      </c>
      <c r="C54" s="98" t="s">
        <v>194</v>
      </c>
      <c r="D54" s="99">
        <v>1002052</v>
      </c>
      <c r="E54" s="99">
        <v>2</v>
      </c>
      <c r="F54" s="99"/>
      <c r="G54" s="99">
        <v>2</v>
      </c>
      <c r="H54" s="99" t="s">
        <v>94</v>
      </c>
      <c r="I54" s="99"/>
      <c r="J54" s="99" t="s">
        <v>95</v>
      </c>
      <c r="K54" s="99" t="b">
        <v>1</v>
      </c>
      <c r="L54" s="95">
        <v>2015</v>
      </c>
      <c r="M54" s="96">
        <v>13052480</v>
      </c>
      <c r="N54" s="100">
        <v>40886</v>
      </c>
      <c r="O54" s="100">
        <v>40909</v>
      </c>
    </row>
    <row r="55" spans="1:15" ht="14.25">
      <c r="A55" s="97">
        <v>2012</v>
      </c>
      <c r="B55" s="98">
        <v>2</v>
      </c>
      <c r="C55" s="98" t="s">
        <v>194</v>
      </c>
      <c r="D55" s="99">
        <v>1002052</v>
      </c>
      <c r="E55" s="99">
        <v>2</v>
      </c>
      <c r="F55" s="99"/>
      <c r="G55" s="99">
        <v>2</v>
      </c>
      <c r="H55" s="99" t="s">
        <v>94</v>
      </c>
      <c r="I55" s="99"/>
      <c r="J55" s="99" t="s">
        <v>95</v>
      </c>
      <c r="K55" s="99" t="b">
        <v>1</v>
      </c>
      <c r="L55" s="95">
        <v>2014</v>
      </c>
      <c r="M55" s="96">
        <v>12448000</v>
      </c>
      <c r="N55" s="100">
        <v>40886</v>
      </c>
      <c r="O55" s="100">
        <v>40909</v>
      </c>
    </row>
    <row r="56" spans="1:15" ht="14.25">
      <c r="A56" s="97">
        <v>2012</v>
      </c>
      <c r="B56" s="98">
        <v>2</v>
      </c>
      <c r="C56" s="98" t="s">
        <v>194</v>
      </c>
      <c r="D56" s="99">
        <v>1002052</v>
      </c>
      <c r="E56" s="99">
        <v>2</v>
      </c>
      <c r="F56" s="99"/>
      <c r="G56" s="99">
        <v>2</v>
      </c>
      <c r="H56" s="99" t="s">
        <v>94</v>
      </c>
      <c r="I56" s="99"/>
      <c r="J56" s="99" t="s">
        <v>95</v>
      </c>
      <c r="K56" s="99" t="b">
        <v>1</v>
      </c>
      <c r="L56" s="95">
        <v>2012</v>
      </c>
      <c r="M56" s="96">
        <v>11737635</v>
      </c>
      <c r="N56" s="100">
        <v>40886</v>
      </c>
      <c r="O56" s="100">
        <v>40909</v>
      </c>
    </row>
    <row r="57" spans="1:15" ht="14.25">
      <c r="A57" s="97">
        <v>2012</v>
      </c>
      <c r="B57" s="98">
        <v>2</v>
      </c>
      <c r="C57" s="98" t="s">
        <v>194</v>
      </c>
      <c r="D57" s="99">
        <v>1002052</v>
      </c>
      <c r="E57" s="99">
        <v>2</v>
      </c>
      <c r="F57" s="99"/>
      <c r="G57" s="99">
        <v>40</v>
      </c>
      <c r="H57" s="99">
        <v>18</v>
      </c>
      <c r="I57" s="99" t="s">
        <v>202</v>
      </c>
      <c r="J57" s="99" t="s">
        <v>69</v>
      </c>
      <c r="K57" s="99" t="b">
        <v>0</v>
      </c>
      <c r="L57" s="95">
        <v>2013</v>
      </c>
      <c r="M57" s="96">
        <v>0.0482</v>
      </c>
      <c r="N57" s="100">
        <v>40886</v>
      </c>
      <c r="O57" s="100">
        <v>40909</v>
      </c>
    </row>
    <row r="58" spans="1:15" ht="14.25">
      <c r="A58" s="97">
        <v>2012</v>
      </c>
      <c r="B58" s="98">
        <v>2</v>
      </c>
      <c r="C58" s="98" t="s">
        <v>194</v>
      </c>
      <c r="D58" s="99">
        <v>1002052</v>
      </c>
      <c r="E58" s="99">
        <v>2</v>
      </c>
      <c r="F58" s="99"/>
      <c r="G58" s="99">
        <v>40</v>
      </c>
      <c r="H58" s="99">
        <v>18</v>
      </c>
      <c r="I58" s="99" t="s">
        <v>202</v>
      </c>
      <c r="J58" s="99" t="s">
        <v>69</v>
      </c>
      <c r="K58" s="99" t="b">
        <v>0</v>
      </c>
      <c r="L58" s="95">
        <v>2014</v>
      </c>
      <c r="M58" s="96">
        <v>0.1141</v>
      </c>
      <c r="N58" s="100">
        <v>40886</v>
      </c>
      <c r="O58" s="100">
        <v>40909</v>
      </c>
    </row>
    <row r="59" spans="1:15" ht="14.25">
      <c r="A59" s="97">
        <v>2012</v>
      </c>
      <c r="B59" s="98">
        <v>2</v>
      </c>
      <c r="C59" s="98" t="s">
        <v>194</v>
      </c>
      <c r="D59" s="99">
        <v>1002052</v>
      </c>
      <c r="E59" s="99">
        <v>2</v>
      </c>
      <c r="F59" s="99"/>
      <c r="G59" s="99">
        <v>40</v>
      </c>
      <c r="H59" s="99">
        <v>18</v>
      </c>
      <c r="I59" s="99" t="s">
        <v>202</v>
      </c>
      <c r="J59" s="99" t="s">
        <v>69</v>
      </c>
      <c r="K59" s="99" t="b">
        <v>0</v>
      </c>
      <c r="L59" s="95">
        <v>2012</v>
      </c>
      <c r="M59" s="96">
        <v>0.2715</v>
      </c>
      <c r="N59" s="100">
        <v>40886</v>
      </c>
      <c r="O59" s="100">
        <v>40909</v>
      </c>
    </row>
    <row r="60" spans="1:15" ht="14.25">
      <c r="A60" s="97">
        <v>2012</v>
      </c>
      <c r="B60" s="98">
        <v>2</v>
      </c>
      <c r="C60" s="98" t="s">
        <v>194</v>
      </c>
      <c r="D60" s="99">
        <v>1002052</v>
      </c>
      <c r="E60" s="99">
        <v>2</v>
      </c>
      <c r="F60" s="99"/>
      <c r="G60" s="99">
        <v>55</v>
      </c>
      <c r="H60" s="99">
        <v>28</v>
      </c>
      <c r="I60" s="99" t="s">
        <v>203</v>
      </c>
      <c r="J60" s="99" t="s">
        <v>48</v>
      </c>
      <c r="K60" s="99" t="b">
        <v>0</v>
      </c>
      <c r="L60" s="95">
        <v>2014</v>
      </c>
      <c r="M60" s="96">
        <v>1120394.2</v>
      </c>
      <c r="N60" s="100">
        <v>40886</v>
      </c>
      <c r="O60" s="100">
        <v>40909</v>
      </c>
    </row>
    <row r="61" spans="1:15" ht="14.25">
      <c r="A61" s="97">
        <v>2012</v>
      </c>
      <c r="B61" s="98">
        <v>2</v>
      </c>
      <c r="C61" s="98" t="s">
        <v>194</v>
      </c>
      <c r="D61" s="99">
        <v>1002052</v>
      </c>
      <c r="E61" s="99">
        <v>2</v>
      </c>
      <c r="F61" s="99"/>
      <c r="G61" s="99">
        <v>55</v>
      </c>
      <c r="H61" s="99">
        <v>28</v>
      </c>
      <c r="I61" s="99" t="s">
        <v>203</v>
      </c>
      <c r="J61" s="99" t="s">
        <v>48</v>
      </c>
      <c r="K61" s="99" t="b">
        <v>0</v>
      </c>
      <c r="L61" s="95">
        <v>2015</v>
      </c>
      <c r="M61" s="96">
        <v>468487</v>
      </c>
      <c r="N61" s="100">
        <v>40886</v>
      </c>
      <c r="O61" s="100">
        <v>40909</v>
      </c>
    </row>
    <row r="62" spans="1:15" ht="14.25">
      <c r="A62" s="97">
        <v>2012</v>
      </c>
      <c r="B62" s="98">
        <v>2</v>
      </c>
      <c r="C62" s="98" t="s">
        <v>194</v>
      </c>
      <c r="D62" s="99">
        <v>1002052</v>
      </c>
      <c r="E62" s="99">
        <v>2</v>
      </c>
      <c r="F62" s="99"/>
      <c r="G62" s="99">
        <v>55</v>
      </c>
      <c r="H62" s="99">
        <v>28</v>
      </c>
      <c r="I62" s="99" t="s">
        <v>203</v>
      </c>
      <c r="J62" s="99" t="s">
        <v>48</v>
      </c>
      <c r="K62" s="99" t="b">
        <v>0</v>
      </c>
      <c r="L62" s="95">
        <v>2012</v>
      </c>
      <c r="M62" s="96">
        <v>-761668</v>
      </c>
      <c r="N62" s="100">
        <v>40886</v>
      </c>
      <c r="O62" s="100">
        <v>40909</v>
      </c>
    </row>
    <row r="63" spans="1:15" ht="14.25">
      <c r="A63" s="97">
        <v>2012</v>
      </c>
      <c r="B63" s="98">
        <v>2</v>
      </c>
      <c r="C63" s="98" t="s">
        <v>194</v>
      </c>
      <c r="D63" s="99">
        <v>1002052</v>
      </c>
      <c r="E63" s="99">
        <v>2</v>
      </c>
      <c r="F63" s="99"/>
      <c r="G63" s="99">
        <v>55</v>
      </c>
      <c r="H63" s="99">
        <v>28</v>
      </c>
      <c r="I63" s="99" t="s">
        <v>203</v>
      </c>
      <c r="J63" s="99" t="s">
        <v>48</v>
      </c>
      <c r="K63" s="99" t="b">
        <v>0</v>
      </c>
      <c r="L63" s="95">
        <v>2013</v>
      </c>
      <c r="M63" s="96">
        <v>1904785.2</v>
      </c>
      <c r="N63" s="100">
        <v>40886</v>
      </c>
      <c r="O63" s="100">
        <v>40909</v>
      </c>
    </row>
    <row r="64" spans="1:15" ht="14.25">
      <c r="A64" s="97">
        <v>2012</v>
      </c>
      <c r="B64" s="98">
        <v>2</v>
      </c>
      <c r="C64" s="98" t="s">
        <v>194</v>
      </c>
      <c r="D64" s="99">
        <v>1002052</v>
      </c>
      <c r="E64" s="99">
        <v>2</v>
      </c>
      <c r="F64" s="99"/>
      <c r="G64" s="99">
        <v>33</v>
      </c>
      <c r="H64" s="99">
        <v>13</v>
      </c>
      <c r="I64" s="99"/>
      <c r="J64" s="99" t="s">
        <v>66</v>
      </c>
      <c r="K64" s="99" t="b">
        <v>1</v>
      </c>
      <c r="L64" s="95">
        <v>2014</v>
      </c>
      <c r="M64" s="96">
        <v>1588881.2</v>
      </c>
      <c r="N64" s="100">
        <v>40886</v>
      </c>
      <c r="O64" s="100">
        <v>40909</v>
      </c>
    </row>
    <row r="65" spans="1:15" ht="14.25">
      <c r="A65" s="97">
        <v>2012</v>
      </c>
      <c r="B65" s="98">
        <v>2</v>
      </c>
      <c r="C65" s="98" t="s">
        <v>194</v>
      </c>
      <c r="D65" s="99">
        <v>1002052</v>
      </c>
      <c r="E65" s="99">
        <v>2</v>
      </c>
      <c r="F65" s="99"/>
      <c r="G65" s="99">
        <v>33</v>
      </c>
      <c r="H65" s="99">
        <v>13</v>
      </c>
      <c r="I65" s="99"/>
      <c r="J65" s="99" t="s">
        <v>66</v>
      </c>
      <c r="K65" s="99" t="b">
        <v>1</v>
      </c>
      <c r="L65" s="95">
        <v>2012</v>
      </c>
      <c r="M65" s="96">
        <v>3493666.4</v>
      </c>
      <c r="N65" s="100">
        <v>40886</v>
      </c>
      <c r="O65" s="100">
        <v>40909</v>
      </c>
    </row>
    <row r="66" spans="1:15" ht="14.25">
      <c r="A66" s="97">
        <v>2012</v>
      </c>
      <c r="B66" s="98">
        <v>2</v>
      </c>
      <c r="C66" s="98" t="s">
        <v>194</v>
      </c>
      <c r="D66" s="99">
        <v>1002052</v>
      </c>
      <c r="E66" s="99">
        <v>2</v>
      </c>
      <c r="F66" s="99"/>
      <c r="G66" s="99">
        <v>33</v>
      </c>
      <c r="H66" s="99">
        <v>13</v>
      </c>
      <c r="I66" s="99"/>
      <c r="J66" s="99" t="s">
        <v>66</v>
      </c>
      <c r="K66" s="99" t="b">
        <v>1</v>
      </c>
      <c r="L66" s="95">
        <v>2013</v>
      </c>
      <c r="M66" s="96">
        <v>657706.19</v>
      </c>
      <c r="N66" s="100">
        <v>40886</v>
      </c>
      <c r="O66" s="100">
        <v>40909</v>
      </c>
    </row>
    <row r="67" spans="1:15" ht="14.25">
      <c r="A67" s="97">
        <v>2012</v>
      </c>
      <c r="B67" s="98">
        <v>2</v>
      </c>
      <c r="C67" s="98" t="s">
        <v>194</v>
      </c>
      <c r="D67" s="99">
        <v>1002052</v>
      </c>
      <c r="E67" s="99">
        <v>2</v>
      </c>
      <c r="F67" s="99"/>
      <c r="G67" s="99">
        <v>45</v>
      </c>
      <c r="H67" s="99" t="s">
        <v>146</v>
      </c>
      <c r="I67" s="99" t="s">
        <v>204</v>
      </c>
      <c r="J67" s="99" t="s">
        <v>53</v>
      </c>
      <c r="K67" s="99" t="b">
        <v>0</v>
      </c>
      <c r="L67" s="95">
        <v>2012</v>
      </c>
      <c r="M67" s="96">
        <v>0.1042</v>
      </c>
      <c r="N67" s="100">
        <v>40886</v>
      </c>
      <c r="O67" s="100">
        <v>40909</v>
      </c>
    </row>
    <row r="68" spans="1:15" ht="14.25">
      <c r="A68" s="97">
        <v>2012</v>
      </c>
      <c r="B68" s="98">
        <v>2</v>
      </c>
      <c r="C68" s="98" t="s">
        <v>194</v>
      </c>
      <c r="D68" s="99">
        <v>1002052</v>
      </c>
      <c r="E68" s="99">
        <v>2</v>
      </c>
      <c r="F68" s="99"/>
      <c r="G68" s="99">
        <v>45</v>
      </c>
      <c r="H68" s="99" t="s">
        <v>146</v>
      </c>
      <c r="I68" s="99" t="s">
        <v>204</v>
      </c>
      <c r="J68" s="99" t="s">
        <v>53</v>
      </c>
      <c r="K68" s="99" t="b">
        <v>0</v>
      </c>
      <c r="L68" s="95">
        <v>2015</v>
      </c>
      <c r="M68" s="96">
        <v>0.2532</v>
      </c>
      <c r="N68" s="100">
        <v>40886</v>
      </c>
      <c r="O68" s="100">
        <v>40909</v>
      </c>
    </row>
    <row r="69" spans="1:15" ht="14.25">
      <c r="A69" s="97">
        <v>2012</v>
      </c>
      <c r="B69" s="98">
        <v>2</v>
      </c>
      <c r="C69" s="98" t="s">
        <v>194</v>
      </c>
      <c r="D69" s="99">
        <v>1002052</v>
      </c>
      <c r="E69" s="99">
        <v>2</v>
      </c>
      <c r="F69" s="99"/>
      <c r="G69" s="99">
        <v>45</v>
      </c>
      <c r="H69" s="99" t="s">
        <v>146</v>
      </c>
      <c r="I69" s="99" t="s">
        <v>204</v>
      </c>
      <c r="J69" s="99" t="s">
        <v>53</v>
      </c>
      <c r="K69" s="99" t="b">
        <v>0</v>
      </c>
      <c r="L69" s="95">
        <v>2014</v>
      </c>
      <c r="M69" s="96">
        <v>0.1889</v>
      </c>
      <c r="N69" s="100">
        <v>40886</v>
      </c>
      <c r="O69" s="100">
        <v>40909</v>
      </c>
    </row>
    <row r="70" spans="1:15" ht="14.25">
      <c r="A70" s="97">
        <v>2012</v>
      </c>
      <c r="B70" s="98">
        <v>2</v>
      </c>
      <c r="C70" s="98" t="s">
        <v>194</v>
      </c>
      <c r="D70" s="99">
        <v>1002052</v>
      </c>
      <c r="E70" s="99">
        <v>2</v>
      </c>
      <c r="F70" s="99"/>
      <c r="G70" s="99">
        <v>45</v>
      </c>
      <c r="H70" s="99" t="s">
        <v>146</v>
      </c>
      <c r="I70" s="99" t="s">
        <v>204</v>
      </c>
      <c r="J70" s="99" t="s">
        <v>53</v>
      </c>
      <c r="K70" s="99" t="b">
        <v>0</v>
      </c>
      <c r="L70" s="95">
        <v>2013</v>
      </c>
      <c r="M70" s="96">
        <v>0.1466</v>
      </c>
      <c r="N70" s="100">
        <v>40886</v>
      </c>
      <c r="O70" s="100">
        <v>40909</v>
      </c>
    </row>
    <row r="71" spans="1:15" ht="14.25">
      <c r="A71" s="97">
        <v>2012</v>
      </c>
      <c r="B71" s="98">
        <v>2</v>
      </c>
      <c r="C71" s="98" t="s">
        <v>194</v>
      </c>
      <c r="D71" s="99">
        <v>1002052</v>
      </c>
      <c r="E71" s="99">
        <v>2</v>
      </c>
      <c r="F71" s="99"/>
      <c r="G71" s="99">
        <v>19</v>
      </c>
      <c r="H71" s="99">
        <v>6</v>
      </c>
      <c r="I71" s="99" t="s">
        <v>205</v>
      </c>
      <c r="J71" s="99" t="s">
        <v>121</v>
      </c>
      <c r="K71" s="99" t="b">
        <v>0</v>
      </c>
      <c r="L71" s="95">
        <v>2015</v>
      </c>
      <c r="M71" s="96">
        <v>3813180</v>
      </c>
      <c r="N71" s="100">
        <v>40886</v>
      </c>
      <c r="O71" s="100">
        <v>40909</v>
      </c>
    </row>
    <row r="72" spans="1:15" ht="14.25">
      <c r="A72" s="97">
        <v>2012</v>
      </c>
      <c r="B72" s="98">
        <v>2</v>
      </c>
      <c r="C72" s="98" t="s">
        <v>194</v>
      </c>
      <c r="D72" s="99">
        <v>1002052</v>
      </c>
      <c r="E72" s="99">
        <v>2</v>
      </c>
      <c r="F72" s="99"/>
      <c r="G72" s="99">
        <v>19</v>
      </c>
      <c r="H72" s="99">
        <v>6</v>
      </c>
      <c r="I72" s="99" t="s">
        <v>205</v>
      </c>
      <c r="J72" s="99" t="s">
        <v>121</v>
      </c>
      <c r="K72" s="99" t="b">
        <v>0</v>
      </c>
      <c r="L72" s="95">
        <v>2014</v>
      </c>
      <c r="M72" s="96">
        <v>5008870</v>
      </c>
      <c r="N72" s="100">
        <v>40886</v>
      </c>
      <c r="O72" s="100">
        <v>40909</v>
      </c>
    </row>
    <row r="73" spans="1:15" ht="14.25">
      <c r="A73" s="97">
        <v>2012</v>
      </c>
      <c r="B73" s="98">
        <v>2</v>
      </c>
      <c r="C73" s="98" t="s">
        <v>194</v>
      </c>
      <c r="D73" s="99">
        <v>1002052</v>
      </c>
      <c r="E73" s="99">
        <v>2</v>
      </c>
      <c r="F73" s="99"/>
      <c r="G73" s="99">
        <v>19</v>
      </c>
      <c r="H73" s="99">
        <v>6</v>
      </c>
      <c r="I73" s="99" t="s">
        <v>205</v>
      </c>
      <c r="J73" s="99" t="s">
        <v>121</v>
      </c>
      <c r="K73" s="99" t="b">
        <v>0</v>
      </c>
      <c r="L73" s="95">
        <v>2013</v>
      </c>
      <c r="M73" s="96">
        <v>4934920</v>
      </c>
      <c r="N73" s="100">
        <v>40886</v>
      </c>
      <c r="O73" s="100">
        <v>40909</v>
      </c>
    </row>
    <row r="74" spans="1:15" ht="14.25">
      <c r="A74" s="97">
        <v>2012</v>
      </c>
      <c r="B74" s="98">
        <v>2</v>
      </c>
      <c r="C74" s="98" t="s">
        <v>194</v>
      </c>
      <c r="D74" s="99">
        <v>1002052</v>
      </c>
      <c r="E74" s="99">
        <v>2</v>
      </c>
      <c r="F74" s="99"/>
      <c r="G74" s="99">
        <v>19</v>
      </c>
      <c r="H74" s="99">
        <v>6</v>
      </c>
      <c r="I74" s="99" t="s">
        <v>205</v>
      </c>
      <c r="J74" s="99" t="s">
        <v>121</v>
      </c>
      <c r="K74" s="99" t="b">
        <v>0</v>
      </c>
      <c r="L74" s="95">
        <v>2012</v>
      </c>
      <c r="M74" s="96">
        <v>4263932</v>
      </c>
      <c r="N74" s="100">
        <v>40886</v>
      </c>
      <c r="O74" s="100">
        <v>40909</v>
      </c>
    </row>
    <row r="75" spans="1:15" ht="14.25">
      <c r="A75" s="97">
        <v>2012</v>
      </c>
      <c r="B75" s="98">
        <v>2</v>
      </c>
      <c r="C75" s="98" t="s">
        <v>194</v>
      </c>
      <c r="D75" s="99">
        <v>1002052</v>
      </c>
      <c r="E75" s="99">
        <v>2</v>
      </c>
      <c r="F75" s="99"/>
      <c r="G75" s="99">
        <v>46</v>
      </c>
      <c r="H75" s="99">
        <v>21</v>
      </c>
      <c r="I75" s="99" t="s">
        <v>206</v>
      </c>
      <c r="J75" s="99" t="s">
        <v>54</v>
      </c>
      <c r="K75" s="99" t="b">
        <v>1</v>
      </c>
      <c r="L75" s="95">
        <v>2013</v>
      </c>
      <c r="M75" s="96">
        <v>0.1506</v>
      </c>
      <c r="N75" s="100">
        <v>40886</v>
      </c>
      <c r="O75" s="100">
        <v>40909</v>
      </c>
    </row>
    <row r="76" spans="1:15" ht="14.25">
      <c r="A76" s="97">
        <v>2012</v>
      </c>
      <c r="B76" s="98">
        <v>2</v>
      </c>
      <c r="C76" s="98" t="s">
        <v>194</v>
      </c>
      <c r="D76" s="99">
        <v>1002052</v>
      </c>
      <c r="E76" s="99">
        <v>2</v>
      </c>
      <c r="F76" s="99"/>
      <c r="G76" s="99">
        <v>46</v>
      </c>
      <c r="H76" s="99">
        <v>21</v>
      </c>
      <c r="I76" s="99" t="s">
        <v>206</v>
      </c>
      <c r="J76" s="99" t="s">
        <v>54</v>
      </c>
      <c r="K76" s="99" t="b">
        <v>1</v>
      </c>
      <c r="L76" s="95">
        <v>2015</v>
      </c>
      <c r="M76" s="96">
        <v>0.0382</v>
      </c>
      <c r="N76" s="100">
        <v>40886</v>
      </c>
      <c r="O76" s="100">
        <v>40909</v>
      </c>
    </row>
    <row r="77" spans="1:15" ht="14.25">
      <c r="A77" s="97">
        <v>2012</v>
      </c>
      <c r="B77" s="98">
        <v>2</v>
      </c>
      <c r="C77" s="98" t="s">
        <v>194</v>
      </c>
      <c r="D77" s="99">
        <v>1002052</v>
      </c>
      <c r="E77" s="99">
        <v>2</v>
      </c>
      <c r="F77" s="99"/>
      <c r="G77" s="99">
        <v>46</v>
      </c>
      <c r="H77" s="99">
        <v>21</v>
      </c>
      <c r="I77" s="99" t="s">
        <v>206</v>
      </c>
      <c r="J77" s="99" t="s">
        <v>54</v>
      </c>
      <c r="K77" s="99" t="b">
        <v>1</v>
      </c>
      <c r="L77" s="95">
        <v>2014</v>
      </c>
      <c r="M77" s="96">
        <v>0.0862</v>
      </c>
      <c r="N77" s="100">
        <v>40886</v>
      </c>
      <c r="O77" s="100">
        <v>40909</v>
      </c>
    </row>
    <row r="78" spans="1:15" ht="14.25">
      <c r="A78" s="97">
        <v>2012</v>
      </c>
      <c r="B78" s="98">
        <v>2</v>
      </c>
      <c r="C78" s="98" t="s">
        <v>194</v>
      </c>
      <c r="D78" s="99">
        <v>1002052</v>
      </c>
      <c r="E78" s="99">
        <v>2</v>
      </c>
      <c r="F78" s="99"/>
      <c r="G78" s="99">
        <v>46</v>
      </c>
      <c r="H78" s="99">
        <v>21</v>
      </c>
      <c r="I78" s="99" t="s">
        <v>206</v>
      </c>
      <c r="J78" s="99" t="s">
        <v>54</v>
      </c>
      <c r="K78" s="99" t="b">
        <v>1</v>
      </c>
      <c r="L78" s="95">
        <v>2012</v>
      </c>
      <c r="M78" s="96">
        <v>0.117</v>
      </c>
      <c r="N78" s="100">
        <v>40886</v>
      </c>
      <c r="O78" s="100">
        <v>40909</v>
      </c>
    </row>
    <row r="79" spans="1:15" ht="14.25">
      <c r="A79" s="97">
        <v>2012</v>
      </c>
      <c r="B79" s="98">
        <v>2</v>
      </c>
      <c r="C79" s="98" t="s">
        <v>194</v>
      </c>
      <c r="D79" s="99">
        <v>1002052</v>
      </c>
      <c r="E79" s="99">
        <v>2</v>
      </c>
      <c r="F79" s="99"/>
      <c r="G79" s="99">
        <v>9</v>
      </c>
      <c r="H79" s="99" t="s">
        <v>106</v>
      </c>
      <c r="I79" s="99"/>
      <c r="J79" s="99" t="s">
        <v>107</v>
      </c>
      <c r="K79" s="99" t="b">
        <v>0</v>
      </c>
      <c r="L79" s="95">
        <v>2012</v>
      </c>
      <c r="M79" s="96">
        <v>1489370</v>
      </c>
      <c r="N79" s="100">
        <v>40886</v>
      </c>
      <c r="O79" s="100">
        <v>40909</v>
      </c>
    </row>
    <row r="80" spans="1:15" ht="14.25">
      <c r="A80" s="97">
        <v>2012</v>
      </c>
      <c r="B80" s="98">
        <v>2</v>
      </c>
      <c r="C80" s="98" t="s">
        <v>194</v>
      </c>
      <c r="D80" s="99">
        <v>1002052</v>
      </c>
      <c r="E80" s="99">
        <v>2</v>
      </c>
      <c r="F80" s="99"/>
      <c r="G80" s="99">
        <v>9</v>
      </c>
      <c r="H80" s="99" t="s">
        <v>106</v>
      </c>
      <c r="I80" s="99"/>
      <c r="J80" s="99" t="s">
        <v>107</v>
      </c>
      <c r="K80" s="99" t="b">
        <v>0</v>
      </c>
      <c r="L80" s="95">
        <v>2015</v>
      </c>
      <c r="M80" s="96">
        <v>1595988</v>
      </c>
      <c r="N80" s="100">
        <v>40886</v>
      </c>
      <c r="O80" s="100">
        <v>40909</v>
      </c>
    </row>
    <row r="81" spans="1:15" ht="14.25">
      <c r="A81" s="97">
        <v>2012</v>
      </c>
      <c r="B81" s="98">
        <v>2</v>
      </c>
      <c r="C81" s="98" t="s">
        <v>194</v>
      </c>
      <c r="D81" s="99">
        <v>1002052</v>
      </c>
      <c r="E81" s="99">
        <v>2</v>
      </c>
      <c r="F81" s="99"/>
      <c r="G81" s="99">
        <v>9</v>
      </c>
      <c r="H81" s="99" t="s">
        <v>106</v>
      </c>
      <c r="I81" s="99"/>
      <c r="J81" s="99" t="s">
        <v>107</v>
      </c>
      <c r="K81" s="99" t="b">
        <v>0</v>
      </c>
      <c r="L81" s="95">
        <v>2014</v>
      </c>
      <c r="M81" s="96">
        <v>1549503</v>
      </c>
      <c r="N81" s="100">
        <v>40886</v>
      </c>
      <c r="O81" s="100">
        <v>40909</v>
      </c>
    </row>
    <row r="82" spans="1:15" ht="14.25">
      <c r="A82" s="97">
        <v>2012</v>
      </c>
      <c r="B82" s="98">
        <v>2</v>
      </c>
      <c r="C82" s="98" t="s">
        <v>194</v>
      </c>
      <c r="D82" s="99">
        <v>1002052</v>
      </c>
      <c r="E82" s="99">
        <v>2</v>
      </c>
      <c r="F82" s="99"/>
      <c r="G82" s="99">
        <v>9</v>
      </c>
      <c r="H82" s="99" t="s">
        <v>106</v>
      </c>
      <c r="I82" s="99"/>
      <c r="J82" s="99" t="s">
        <v>107</v>
      </c>
      <c r="K82" s="99" t="b">
        <v>0</v>
      </c>
      <c r="L82" s="95">
        <v>2013</v>
      </c>
      <c r="M82" s="96">
        <v>1526604</v>
      </c>
      <c r="N82" s="100">
        <v>40886</v>
      </c>
      <c r="O82" s="100">
        <v>40909</v>
      </c>
    </row>
    <row r="83" spans="1:15" ht="14.25">
      <c r="A83" s="97">
        <v>2012</v>
      </c>
      <c r="B83" s="98">
        <v>2</v>
      </c>
      <c r="C83" s="98" t="s">
        <v>194</v>
      </c>
      <c r="D83" s="99">
        <v>1002052</v>
      </c>
      <c r="E83" s="99">
        <v>2</v>
      </c>
      <c r="F83" s="99"/>
      <c r="G83" s="99">
        <v>50</v>
      </c>
      <c r="H83" s="99">
        <v>23</v>
      </c>
      <c r="I83" s="99" t="s">
        <v>207</v>
      </c>
      <c r="J83" s="99" t="s">
        <v>149</v>
      </c>
      <c r="K83" s="99" t="b">
        <v>1</v>
      </c>
      <c r="L83" s="95">
        <v>2014</v>
      </c>
      <c r="M83" s="96">
        <v>12448000</v>
      </c>
      <c r="N83" s="100">
        <v>40886</v>
      </c>
      <c r="O83" s="100">
        <v>40909</v>
      </c>
    </row>
    <row r="84" spans="1:15" ht="14.25">
      <c r="A84" s="97">
        <v>2012</v>
      </c>
      <c r="B84" s="98">
        <v>2</v>
      </c>
      <c r="C84" s="98" t="s">
        <v>194</v>
      </c>
      <c r="D84" s="99">
        <v>1002052</v>
      </c>
      <c r="E84" s="99">
        <v>2</v>
      </c>
      <c r="F84" s="99"/>
      <c r="G84" s="99">
        <v>50</v>
      </c>
      <c r="H84" s="99">
        <v>23</v>
      </c>
      <c r="I84" s="99" t="s">
        <v>207</v>
      </c>
      <c r="J84" s="99" t="s">
        <v>149</v>
      </c>
      <c r="K84" s="99" t="b">
        <v>1</v>
      </c>
      <c r="L84" s="95">
        <v>2015</v>
      </c>
      <c r="M84" s="96">
        <v>13052480</v>
      </c>
      <c r="N84" s="100">
        <v>40886</v>
      </c>
      <c r="O84" s="100">
        <v>40909</v>
      </c>
    </row>
    <row r="85" spans="1:15" ht="14.25">
      <c r="A85" s="97">
        <v>2012</v>
      </c>
      <c r="B85" s="98">
        <v>2</v>
      </c>
      <c r="C85" s="98" t="s">
        <v>194</v>
      </c>
      <c r="D85" s="99">
        <v>1002052</v>
      </c>
      <c r="E85" s="99">
        <v>2</v>
      </c>
      <c r="F85" s="99"/>
      <c r="G85" s="99">
        <v>50</v>
      </c>
      <c r="H85" s="99">
        <v>23</v>
      </c>
      <c r="I85" s="99" t="s">
        <v>207</v>
      </c>
      <c r="J85" s="99" t="s">
        <v>149</v>
      </c>
      <c r="K85" s="99" t="b">
        <v>1</v>
      </c>
      <c r="L85" s="95">
        <v>2012</v>
      </c>
      <c r="M85" s="96">
        <v>11737635</v>
      </c>
      <c r="N85" s="100">
        <v>40886</v>
      </c>
      <c r="O85" s="100">
        <v>40909</v>
      </c>
    </row>
    <row r="86" spans="1:15" ht="14.25">
      <c r="A86" s="97">
        <v>2012</v>
      </c>
      <c r="B86" s="98">
        <v>2</v>
      </c>
      <c r="C86" s="98" t="s">
        <v>194</v>
      </c>
      <c r="D86" s="99">
        <v>1002052</v>
      </c>
      <c r="E86" s="99">
        <v>2</v>
      </c>
      <c r="F86" s="99"/>
      <c r="G86" s="99">
        <v>50</v>
      </c>
      <c r="H86" s="99">
        <v>23</v>
      </c>
      <c r="I86" s="99" t="s">
        <v>207</v>
      </c>
      <c r="J86" s="99" t="s">
        <v>149</v>
      </c>
      <c r="K86" s="99" t="b">
        <v>1</v>
      </c>
      <c r="L86" s="95">
        <v>2013</v>
      </c>
      <c r="M86" s="96">
        <v>12325000</v>
      </c>
      <c r="N86" s="100">
        <v>40886</v>
      </c>
      <c r="O86" s="100">
        <v>40909</v>
      </c>
    </row>
    <row r="87" spans="1:15" ht="14.25">
      <c r="A87" s="97">
        <v>2012</v>
      </c>
      <c r="B87" s="98">
        <v>2</v>
      </c>
      <c r="C87" s="98" t="s">
        <v>194</v>
      </c>
      <c r="D87" s="99">
        <v>1002052</v>
      </c>
      <c r="E87" s="99">
        <v>2</v>
      </c>
      <c r="F87" s="99"/>
      <c r="G87" s="99">
        <v>6</v>
      </c>
      <c r="H87" s="99" t="s">
        <v>102</v>
      </c>
      <c r="I87" s="99"/>
      <c r="J87" s="99" t="s">
        <v>103</v>
      </c>
      <c r="K87" s="99" t="b">
        <v>1</v>
      </c>
      <c r="L87" s="95">
        <v>2013</v>
      </c>
      <c r="M87" s="96">
        <v>1316228</v>
      </c>
      <c r="N87" s="100">
        <v>40886</v>
      </c>
      <c r="O87" s="100">
        <v>40909</v>
      </c>
    </row>
    <row r="88" spans="1:15" ht="14.25">
      <c r="A88" s="97">
        <v>2012</v>
      </c>
      <c r="B88" s="98">
        <v>2</v>
      </c>
      <c r="C88" s="98" t="s">
        <v>194</v>
      </c>
      <c r="D88" s="99">
        <v>1002052</v>
      </c>
      <c r="E88" s="99">
        <v>2</v>
      </c>
      <c r="F88" s="99"/>
      <c r="G88" s="99">
        <v>6</v>
      </c>
      <c r="H88" s="99" t="s">
        <v>102</v>
      </c>
      <c r="I88" s="99"/>
      <c r="J88" s="99" t="s">
        <v>103</v>
      </c>
      <c r="K88" s="99" t="b">
        <v>1</v>
      </c>
      <c r="L88" s="95">
        <v>2012</v>
      </c>
      <c r="M88" s="96">
        <v>827033</v>
      </c>
      <c r="N88" s="100">
        <v>40886</v>
      </c>
      <c r="O88" s="100">
        <v>40909</v>
      </c>
    </row>
    <row r="89" spans="1:15" ht="14.25">
      <c r="A89" s="97">
        <v>2012</v>
      </c>
      <c r="B89" s="98">
        <v>2</v>
      </c>
      <c r="C89" s="98" t="s">
        <v>194</v>
      </c>
      <c r="D89" s="99">
        <v>1002052</v>
      </c>
      <c r="E89" s="99">
        <v>2</v>
      </c>
      <c r="F89" s="99"/>
      <c r="G89" s="99">
        <v>6</v>
      </c>
      <c r="H89" s="99" t="s">
        <v>102</v>
      </c>
      <c r="I89" s="99"/>
      <c r="J89" s="99" t="s">
        <v>103</v>
      </c>
      <c r="K89" s="99" t="b">
        <v>1</v>
      </c>
      <c r="L89" s="95">
        <v>2014</v>
      </c>
      <c r="M89" s="96">
        <v>1480170</v>
      </c>
      <c r="N89" s="100">
        <v>40886</v>
      </c>
      <c r="O89" s="100">
        <v>40909</v>
      </c>
    </row>
    <row r="90" spans="1:15" ht="14.25">
      <c r="A90" s="97">
        <v>2012</v>
      </c>
      <c r="B90" s="98">
        <v>2</v>
      </c>
      <c r="C90" s="98" t="s">
        <v>194</v>
      </c>
      <c r="D90" s="99">
        <v>1002052</v>
      </c>
      <c r="E90" s="99">
        <v>2</v>
      </c>
      <c r="F90" s="99"/>
      <c r="G90" s="99">
        <v>44</v>
      </c>
      <c r="H90" s="99">
        <v>20</v>
      </c>
      <c r="I90" s="99" t="s">
        <v>208</v>
      </c>
      <c r="J90" s="99" t="s">
        <v>145</v>
      </c>
      <c r="K90" s="99" t="b">
        <v>1</v>
      </c>
      <c r="L90" s="95">
        <v>2014</v>
      </c>
      <c r="M90" s="96">
        <v>0.2476</v>
      </c>
      <c r="N90" s="100">
        <v>40886</v>
      </c>
      <c r="O90" s="100">
        <v>40909</v>
      </c>
    </row>
    <row r="91" spans="1:15" ht="14.25">
      <c r="A91" s="97">
        <v>2012</v>
      </c>
      <c r="B91" s="98">
        <v>2</v>
      </c>
      <c r="C91" s="98" t="s">
        <v>194</v>
      </c>
      <c r="D91" s="99">
        <v>1002052</v>
      </c>
      <c r="E91" s="99">
        <v>2</v>
      </c>
      <c r="F91" s="99"/>
      <c r="G91" s="99">
        <v>44</v>
      </c>
      <c r="H91" s="99">
        <v>20</v>
      </c>
      <c r="I91" s="99" t="s">
        <v>208</v>
      </c>
      <c r="J91" s="99" t="s">
        <v>145</v>
      </c>
      <c r="K91" s="99" t="b">
        <v>1</v>
      </c>
      <c r="L91" s="95">
        <v>2015</v>
      </c>
      <c r="M91" s="96">
        <v>0.2898</v>
      </c>
      <c r="N91" s="100">
        <v>40886</v>
      </c>
      <c r="O91" s="100">
        <v>40909</v>
      </c>
    </row>
    <row r="92" spans="1:15" ht="14.25">
      <c r="A92" s="97">
        <v>2012</v>
      </c>
      <c r="B92" s="98">
        <v>2</v>
      </c>
      <c r="C92" s="98" t="s">
        <v>194</v>
      </c>
      <c r="D92" s="99">
        <v>1002052</v>
      </c>
      <c r="E92" s="99">
        <v>2</v>
      </c>
      <c r="F92" s="99"/>
      <c r="G92" s="99">
        <v>44</v>
      </c>
      <c r="H92" s="99">
        <v>20</v>
      </c>
      <c r="I92" s="99" t="s">
        <v>208</v>
      </c>
      <c r="J92" s="99" t="s">
        <v>145</v>
      </c>
      <c r="K92" s="99" t="b">
        <v>1</v>
      </c>
      <c r="L92" s="95">
        <v>2013</v>
      </c>
      <c r="M92" s="96">
        <v>0.2535</v>
      </c>
      <c r="N92" s="100">
        <v>40886</v>
      </c>
      <c r="O92" s="100">
        <v>40909</v>
      </c>
    </row>
    <row r="93" spans="1:15" ht="14.25">
      <c r="A93" s="97">
        <v>2012</v>
      </c>
      <c r="B93" s="98">
        <v>2</v>
      </c>
      <c r="C93" s="98" t="s">
        <v>194</v>
      </c>
      <c r="D93" s="99">
        <v>1002052</v>
      </c>
      <c r="E93" s="99">
        <v>2</v>
      </c>
      <c r="F93" s="99"/>
      <c r="G93" s="99">
        <v>44</v>
      </c>
      <c r="H93" s="99">
        <v>20</v>
      </c>
      <c r="I93" s="99" t="s">
        <v>208</v>
      </c>
      <c r="J93" s="99" t="s">
        <v>145</v>
      </c>
      <c r="K93" s="99" t="b">
        <v>1</v>
      </c>
      <c r="L93" s="95">
        <v>2012</v>
      </c>
      <c r="M93" s="96">
        <v>0.2584</v>
      </c>
      <c r="N93" s="100">
        <v>40886</v>
      </c>
      <c r="O93" s="100">
        <v>40909</v>
      </c>
    </row>
    <row r="94" spans="1:15" ht="14.25">
      <c r="A94" s="97">
        <v>2012</v>
      </c>
      <c r="B94" s="98">
        <v>2</v>
      </c>
      <c r="C94" s="98" t="s">
        <v>194</v>
      </c>
      <c r="D94" s="99">
        <v>1002052</v>
      </c>
      <c r="E94" s="99">
        <v>2</v>
      </c>
      <c r="F94" s="99"/>
      <c r="G94" s="99">
        <v>54</v>
      </c>
      <c r="H94" s="99">
        <v>27</v>
      </c>
      <c r="I94" s="99" t="s">
        <v>209</v>
      </c>
      <c r="J94" s="99" t="s">
        <v>46</v>
      </c>
      <c r="K94" s="99" t="b">
        <v>0</v>
      </c>
      <c r="L94" s="95">
        <v>2015</v>
      </c>
      <c r="M94" s="96">
        <v>12583993</v>
      </c>
      <c r="N94" s="100">
        <v>40886</v>
      </c>
      <c r="O94" s="100">
        <v>40909</v>
      </c>
    </row>
    <row r="95" spans="1:15" ht="14.25">
      <c r="A95" s="97">
        <v>2012</v>
      </c>
      <c r="B95" s="98">
        <v>2</v>
      </c>
      <c r="C95" s="98" t="s">
        <v>194</v>
      </c>
      <c r="D95" s="99">
        <v>1002052</v>
      </c>
      <c r="E95" s="99">
        <v>2</v>
      </c>
      <c r="F95" s="99"/>
      <c r="G95" s="99">
        <v>54</v>
      </c>
      <c r="H95" s="99">
        <v>27</v>
      </c>
      <c r="I95" s="99" t="s">
        <v>209</v>
      </c>
      <c r="J95" s="99" t="s">
        <v>46</v>
      </c>
      <c r="K95" s="99" t="b">
        <v>0</v>
      </c>
      <c r="L95" s="95">
        <v>2012</v>
      </c>
      <c r="M95" s="96">
        <v>13628836</v>
      </c>
      <c r="N95" s="100">
        <v>40886</v>
      </c>
      <c r="O95" s="100">
        <v>40909</v>
      </c>
    </row>
    <row r="96" spans="1:15" ht="14.25">
      <c r="A96" s="97">
        <v>2012</v>
      </c>
      <c r="B96" s="98">
        <v>2</v>
      </c>
      <c r="C96" s="98" t="s">
        <v>194</v>
      </c>
      <c r="D96" s="99">
        <v>1002052</v>
      </c>
      <c r="E96" s="99">
        <v>2</v>
      </c>
      <c r="F96" s="99"/>
      <c r="G96" s="99">
        <v>54</v>
      </c>
      <c r="H96" s="99">
        <v>27</v>
      </c>
      <c r="I96" s="99" t="s">
        <v>209</v>
      </c>
      <c r="J96" s="99" t="s">
        <v>46</v>
      </c>
      <c r="K96" s="99" t="b">
        <v>0</v>
      </c>
      <c r="L96" s="95">
        <v>2013</v>
      </c>
      <c r="M96" s="96">
        <v>11736442.8</v>
      </c>
      <c r="N96" s="100">
        <v>40886</v>
      </c>
      <c r="O96" s="100">
        <v>40909</v>
      </c>
    </row>
    <row r="97" spans="1:15" ht="14.25">
      <c r="A97" s="97">
        <v>2012</v>
      </c>
      <c r="B97" s="98">
        <v>2</v>
      </c>
      <c r="C97" s="98" t="s">
        <v>194</v>
      </c>
      <c r="D97" s="99">
        <v>1002052</v>
      </c>
      <c r="E97" s="99">
        <v>2</v>
      </c>
      <c r="F97" s="99"/>
      <c r="G97" s="99">
        <v>54</v>
      </c>
      <c r="H97" s="99">
        <v>27</v>
      </c>
      <c r="I97" s="99" t="s">
        <v>209</v>
      </c>
      <c r="J97" s="99" t="s">
        <v>46</v>
      </c>
      <c r="K97" s="99" t="b">
        <v>0</v>
      </c>
      <c r="L97" s="95">
        <v>2014</v>
      </c>
      <c r="M97" s="96">
        <v>12807775.8</v>
      </c>
      <c r="N97" s="100">
        <v>40886</v>
      </c>
      <c r="O97" s="100">
        <v>40909</v>
      </c>
    </row>
    <row r="98" spans="1:15" ht="14.25">
      <c r="A98" s="97">
        <v>2012</v>
      </c>
      <c r="B98" s="98">
        <v>2</v>
      </c>
      <c r="C98" s="98" t="s">
        <v>194</v>
      </c>
      <c r="D98" s="99">
        <v>1002052</v>
      </c>
      <c r="E98" s="99">
        <v>2</v>
      </c>
      <c r="F98" s="99"/>
      <c r="G98" s="99">
        <v>1</v>
      </c>
      <c r="H98" s="99">
        <v>1</v>
      </c>
      <c r="I98" s="99" t="s">
        <v>210</v>
      </c>
      <c r="J98" s="99" t="s">
        <v>93</v>
      </c>
      <c r="K98" s="99" t="b">
        <v>1</v>
      </c>
      <c r="L98" s="95">
        <v>2014</v>
      </c>
      <c r="M98" s="96">
        <v>13928170</v>
      </c>
      <c r="N98" s="100">
        <v>40886</v>
      </c>
      <c r="O98" s="100">
        <v>40909</v>
      </c>
    </row>
    <row r="99" spans="1:15" ht="14.25">
      <c r="A99" s="97">
        <v>2012</v>
      </c>
      <c r="B99" s="98">
        <v>2</v>
      </c>
      <c r="C99" s="98" t="s">
        <v>194</v>
      </c>
      <c r="D99" s="99">
        <v>1002052</v>
      </c>
      <c r="E99" s="99">
        <v>2</v>
      </c>
      <c r="F99" s="99"/>
      <c r="G99" s="99">
        <v>1</v>
      </c>
      <c r="H99" s="99">
        <v>1</v>
      </c>
      <c r="I99" s="99" t="s">
        <v>210</v>
      </c>
      <c r="J99" s="99" t="s">
        <v>93</v>
      </c>
      <c r="K99" s="99" t="b">
        <v>1</v>
      </c>
      <c r="L99" s="95">
        <v>2013</v>
      </c>
      <c r="M99" s="96">
        <v>13641228</v>
      </c>
      <c r="N99" s="100">
        <v>40886</v>
      </c>
      <c r="O99" s="100">
        <v>40909</v>
      </c>
    </row>
    <row r="100" spans="1:15" ht="14.25">
      <c r="A100" s="97">
        <v>2012</v>
      </c>
      <c r="B100" s="98">
        <v>2</v>
      </c>
      <c r="C100" s="98" t="s">
        <v>194</v>
      </c>
      <c r="D100" s="99">
        <v>1002052</v>
      </c>
      <c r="E100" s="99">
        <v>2</v>
      </c>
      <c r="F100" s="99"/>
      <c r="G100" s="99">
        <v>1</v>
      </c>
      <c r="H100" s="99">
        <v>1</v>
      </c>
      <c r="I100" s="99" t="s">
        <v>210</v>
      </c>
      <c r="J100" s="99" t="s">
        <v>93</v>
      </c>
      <c r="K100" s="99" t="b">
        <v>1</v>
      </c>
      <c r="L100" s="95">
        <v>2015</v>
      </c>
      <c r="M100" s="96">
        <v>13052480</v>
      </c>
      <c r="N100" s="100">
        <v>40886</v>
      </c>
      <c r="O100" s="100">
        <v>40909</v>
      </c>
    </row>
    <row r="101" spans="1:15" ht="14.25">
      <c r="A101" s="97">
        <v>2012</v>
      </c>
      <c r="B101" s="98">
        <v>2</v>
      </c>
      <c r="C101" s="98" t="s">
        <v>194</v>
      </c>
      <c r="D101" s="99">
        <v>1002052</v>
      </c>
      <c r="E101" s="99">
        <v>2</v>
      </c>
      <c r="F101" s="99"/>
      <c r="G101" s="99">
        <v>1</v>
      </c>
      <c r="H101" s="99">
        <v>1</v>
      </c>
      <c r="I101" s="99" t="s">
        <v>210</v>
      </c>
      <c r="J101" s="99" t="s">
        <v>93</v>
      </c>
      <c r="K101" s="99" t="b">
        <v>1</v>
      </c>
      <c r="L101" s="95">
        <v>2012</v>
      </c>
      <c r="M101" s="96">
        <v>12867168</v>
      </c>
      <c r="N101" s="100">
        <v>40886</v>
      </c>
      <c r="O101" s="100">
        <v>40909</v>
      </c>
    </row>
    <row r="102" spans="1:15" ht="14.25">
      <c r="A102" s="97">
        <v>2012</v>
      </c>
      <c r="B102" s="98">
        <v>2</v>
      </c>
      <c r="C102" s="98" t="s">
        <v>194</v>
      </c>
      <c r="D102" s="99">
        <v>1002052</v>
      </c>
      <c r="E102" s="99">
        <v>2</v>
      </c>
      <c r="F102" s="99"/>
      <c r="G102" s="99">
        <v>53</v>
      </c>
      <c r="H102" s="99">
        <v>26</v>
      </c>
      <c r="I102" s="99" t="s">
        <v>211</v>
      </c>
      <c r="J102" s="99" t="s">
        <v>151</v>
      </c>
      <c r="K102" s="99" t="b">
        <v>1</v>
      </c>
      <c r="L102" s="95">
        <v>2014</v>
      </c>
      <c r="M102" s="96">
        <v>13928170</v>
      </c>
      <c r="N102" s="100">
        <v>40886</v>
      </c>
      <c r="O102" s="100">
        <v>40909</v>
      </c>
    </row>
    <row r="103" spans="1:15" ht="14.25">
      <c r="A103" s="97">
        <v>2012</v>
      </c>
      <c r="B103" s="98">
        <v>2</v>
      </c>
      <c r="C103" s="98" t="s">
        <v>194</v>
      </c>
      <c r="D103" s="99">
        <v>1002052</v>
      </c>
      <c r="E103" s="99">
        <v>2</v>
      </c>
      <c r="F103" s="99"/>
      <c r="G103" s="99">
        <v>53</v>
      </c>
      <c r="H103" s="99">
        <v>26</v>
      </c>
      <c r="I103" s="99" t="s">
        <v>211</v>
      </c>
      <c r="J103" s="99" t="s">
        <v>151</v>
      </c>
      <c r="K103" s="99" t="b">
        <v>1</v>
      </c>
      <c r="L103" s="95">
        <v>2013</v>
      </c>
      <c r="M103" s="96">
        <v>13641228</v>
      </c>
      <c r="N103" s="100">
        <v>40886</v>
      </c>
      <c r="O103" s="100">
        <v>40909</v>
      </c>
    </row>
    <row r="104" spans="1:15" ht="14.25">
      <c r="A104" s="97">
        <v>2012</v>
      </c>
      <c r="B104" s="98">
        <v>2</v>
      </c>
      <c r="C104" s="98" t="s">
        <v>194</v>
      </c>
      <c r="D104" s="99">
        <v>1002052</v>
      </c>
      <c r="E104" s="99">
        <v>2</v>
      </c>
      <c r="F104" s="99"/>
      <c r="G104" s="99">
        <v>53</v>
      </c>
      <c r="H104" s="99">
        <v>26</v>
      </c>
      <c r="I104" s="99" t="s">
        <v>211</v>
      </c>
      <c r="J104" s="99" t="s">
        <v>151</v>
      </c>
      <c r="K104" s="99" t="b">
        <v>1</v>
      </c>
      <c r="L104" s="95">
        <v>2012</v>
      </c>
      <c r="M104" s="96">
        <v>12867168</v>
      </c>
      <c r="N104" s="100">
        <v>40886</v>
      </c>
      <c r="O104" s="100">
        <v>40909</v>
      </c>
    </row>
    <row r="105" spans="1:15" ht="14.25">
      <c r="A105" s="97">
        <v>2012</v>
      </c>
      <c r="B105" s="98">
        <v>2</v>
      </c>
      <c r="C105" s="98" t="s">
        <v>194</v>
      </c>
      <c r="D105" s="99">
        <v>1002052</v>
      </c>
      <c r="E105" s="99">
        <v>2</v>
      </c>
      <c r="F105" s="99"/>
      <c r="G105" s="99">
        <v>53</v>
      </c>
      <c r="H105" s="99">
        <v>26</v>
      </c>
      <c r="I105" s="99" t="s">
        <v>211</v>
      </c>
      <c r="J105" s="99" t="s">
        <v>151</v>
      </c>
      <c r="K105" s="99" t="b">
        <v>1</v>
      </c>
      <c r="L105" s="95">
        <v>2015</v>
      </c>
      <c r="M105" s="96">
        <v>13052480</v>
      </c>
      <c r="N105" s="100">
        <v>40886</v>
      </c>
      <c r="O105" s="100">
        <v>40909</v>
      </c>
    </row>
    <row r="106" spans="1:15" ht="14.25">
      <c r="A106" s="97">
        <v>2012</v>
      </c>
      <c r="B106" s="98">
        <v>2</v>
      </c>
      <c r="C106" s="98" t="s">
        <v>194</v>
      </c>
      <c r="D106" s="99">
        <v>1002052</v>
      </c>
      <c r="E106" s="99">
        <v>2</v>
      </c>
      <c r="F106" s="99"/>
      <c r="G106" s="99">
        <v>52</v>
      </c>
      <c r="H106" s="99">
        <v>25</v>
      </c>
      <c r="I106" s="99" t="s">
        <v>212</v>
      </c>
      <c r="J106" s="99" t="s">
        <v>49</v>
      </c>
      <c r="K106" s="99" t="b">
        <v>1</v>
      </c>
      <c r="L106" s="95">
        <v>2013</v>
      </c>
      <c r="M106" s="96">
        <v>3458692</v>
      </c>
      <c r="N106" s="100">
        <v>40886</v>
      </c>
      <c r="O106" s="100">
        <v>40909</v>
      </c>
    </row>
    <row r="107" spans="1:15" ht="14.25">
      <c r="A107" s="97">
        <v>2012</v>
      </c>
      <c r="B107" s="98">
        <v>2</v>
      </c>
      <c r="C107" s="98" t="s">
        <v>194</v>
      </c>
      <c r="D107" s="99">
        <v>1002052</v>
      </c>
      <c r="E107" s="99">
        <v>2</v>
      </c>
      <c r="F107" s="99"/>
      <c r="G107" s="99">
        <v>52</v>
      </c>
      <c r="H107" s="99">
        <v>25</v>
      </c>
      <c r="I107" s="99" t="s">
        <v>212</v>
      </c>
      <c r="J107" s="99" t="s">
        <v>49</v>
      </c>
      <c r="K107" s="99" t="b">
        <v>1</v>
      </c>
      <c r="L107" s="95">
        <v>2014</v>
      </c>
      <c r="M107" s="96">
        <v>3448700</v>
      </c>
      <c r="N107" s="100">
        <v>40886</v>
      </c>
      <c r="O107" s="100">
        <v>40909</v>
      </c>
    </row>
    <row r="108" spans="1:15" ht="14.25">
      <c r="A108" s="97">
        <v>2012</v>
      </c>
      <c r="B108" s="98">
        <v>2</v>
      </c>
      <c r="C108" s="98" t="s">
        <v>194</v>
      </c>
      <c r="D108" s="99">
        <v>1002052</v>
      </c>
      <c r="E108" s="99">
        <v>2</v>
      </c>
      <c r="F108" s="99"/>
      <c r="G108" s="99">
        <v>52</v>
      </c>
      <c r="H108" s="99">
        <v>25</v>
      </c>
      <c r="I108" s="99" t="s">
        <v>212</v>
      </c>
      <c r="J108" s="99" t="s">
        <v>49</v>
      </c>
      <c r="K108" s="99" t="b">
        <v>1</v>
      </c>
      <c r="L108" s="95">
        <v>2015</v>
      </c>
      <c r="M108" s="96">
        <v>3783180</v>
      </c>
      <c r="N108" s="100">
        <v>40886</v>
      </c>
      <c r="O108" s="100">
        <v>40909</v>
      </c>
    </row>
    <row r="109" spans="1:15" ht="14.25">
      <c r="A109" s="97">
        <v>2012</v>
      </c>
      <c r="B109" s="98">
        <v>2</v>
      </c>
      <c r="C109" s="98" t="s">
        <v>194</v>
      </c>
      <c r="D109" s="99">
        <v>1002052</v>
      </c>
      <c r="E109" s="99">
        <v>2</v>
      </c>
      <c r="F109" s="99"/>
      <c r="G109" s="99">
        <v>52</v>
      </c>
      <c r="H109" s="99">
        <v>25</v>
      </c>
      <c r="I109" s="99" t="s">
        <v>212</v>
      </c>
      <c r="J109" s="99" t="s">
        <v>49</v>
      </c>
      <c r="K109" s="99" t="b">
        <v>1</v>
      </c>
      <c r="L109" s="95">
        <v>2012</v>
      </c>
      <c r="M109" s="96">
        <v>3024399</v>
      </c>
      <c r="N109" s="100">
        <v>40886</v>
      </c>
      <c r="O109" s="100">
        <v>40909</v>
      </c>
    </row>
    <row r="110" spans="1:15" ht="14.25">
      <c r="A110" s="97">
        <v>2012</v>
      </c>
      <c r="B110" s="98">
        <v>2</v>
      </c>
      <c r="C110" s="98" t="s">
        <v>194</v>
      </c>
      <c r="D110" s="99">
        <v>1002052</v>
      </c>
      <c r="E110" s="99">
        <v>2</v>
      </c>
      <c r="F110" s="99"/>
      <c r="G110" s="99">
        <v>24</v>
      </c>
      <c r="H110" s="99" t="s">
        <v>128</v>
      </c>
      <c r="I110" s="99"/>
      <c r="J110" s="99" t="s">
        <v>129</v>
      </c>
      <c r="K110" s="99" t="b">
        <v>1</v>
      </c>
      <c r="L110" s="95">
        <v>2013</v>
      </c>
      <c r="M110" s="96">
        <v>150000</v>
      </c>
      <c r="N110" s="100">
        <v>40886</v>
      </c>
      <c r="O110" s="100">
        <v>40909</v>
      </c>
    </row>
    <row r="111" spans="1:15" ht="14.25">
      <c r="A111" s="97">
        <v>2012</v>
      </c>
      <c r="B111" s="98">
        <v>2</v>
      </c>
      <c r="C111" s="98" t="s">
        <v>194</v>
      </c>
      <c r="D111" s="99">
        <v>1002052</v>
      </c>
      <c r="E111" s="99">
        <v>2</v>
      </c>
      <c r="F111" s="99"/>
      <c r="G111" s="99">
        <v>24</v>
      </c>
      <c r="H111" s="99" t="s">
        <v>128</v>
      </c>
      <c r="I111" s="99"/>
      <c r="J111" s="99" t="s">
        <v>129</v>
      </c>
      <c r="K111" s="99" t="b">
        <v>1</v>
      </c>
      <c r="L111" s="95">
        <v>2015</v>
      </c>
      <c r="M111" s="96">
        <v>30000</v>
      </c>
      <c r="N111" s="100">
        <v>40886</v>
      </c>
      <c r="O111" s="100">
        <v>40909</v>
      </c>
    </row>
    <row r="112" spans="1:15" ht="14.25">
      <c r="A112" s="97">
        <v>2012</v>
      </c>
      <c r="B112" s="98">
        <v>2</v>
      </c>
      <c r="C112" s="98" t="s">
        <v>194</v>
      </c>
      <c r="D112" s="99">
        <v>1002052</v>
      </c>
      <c r="E112" s="99">
        <v>2</v>
      </c>
      <c r="F112" s="99"/>
      <c r="G112" s="99">
        <v>24</v>
      </c>
      <c r="H112" s="99" t="s">
        <v>128</v>
      </c>
      <c r="I112" s="99"/>
      <c r="J112" s="99" t="s">
        <v>129</v>
      </c>
      <c r="K112" s="99" t="b">
        <v>1</v>
      </c>
      <c r="L112" s="95">
        <v>2012</v>
      </c>
      <c r="M112" s="96">
        <v>100000</v>
      </c>
      <c r="N112" s="100">
        <v>40886</v>
      </c>
      <c r="O112" s="100">
        <v>40909</v>
      </c>
    </row>
    <row r="113" spans="1:15" ht="14.25">
      <c r="A113" s="97">
        <v>2012</v>
      </c>
      <c r="B113" s="98">
        <v>2</v>
      </c>
      <c r="C113" s="98" t="s">
        <v>194</v>
      </c>
      <c r="D113" s="99">
        <v>1002052</v>
      </c>
      <c r="E113" s="99">
        <v>2</v>
      </c>
      <c r="F113" s="99"/>
      <c r="G113" s="99">
        <v>24</v>
      </c>
      <c r="H113" s="99" t="s">
        <v>128</v>
      </c>
      <c r="I113" s="99"/>
      <c r="J113" s="99" t="s">
        <v>129</v>
      </c>
      <c r="K113" s="99" t="b">
        <v>1</v>
      </c>
      <c r="L113" s="95">
        <v>2014</v>
      </c>
      <c r="M113" s="96">
        <v>80000</v>
      </c>
      <c r="N113" s="100">
        <v>40886</v>
      </c>
      <c r="O113" s="100">
        <v>40909</v>
      </c>
    </row>
    <row r="114" spans="1:15" ht="14.25">
      <c r="A114" s="97">
        <v>2012</v>
      </c>
      <c r="B114" s="98">
        <v>2</v>
      </c>
      <c r="C114" s="98" t="s">
        <v>194</v>
      </c>
      <c r="D114" s="99">
        <v>1002052</v>
      </c>
      <c r="E114" s="99">
        <v>2</v>
      </c>
      <c r="F114" s="99"/>
      <c r="G114" s="99">
        <v>41</v>
      </c>
      <c r="H114" s="99" t="s">
        <v>143</v>
      </c>
      <c r="I114" s="99" t="s">
        <v>213</v>
      </c>
      <c r="J114" s="99" t="s">
        <v>71</v>
      </c>
      <c r="K114" s="99" t="b">
        <v>0</v>
      </c>
      <c r="L114" s="95">
        <v>2013</v>
      </c>
      <c r="M114" s="96">
        <v>0.0482</v>
      </c>
      <c r="N114" s="100">
        <v>40886</v>
      </c>
      <c r="O114" s="100">
        <v>40909</v>
      </c>
    </row>
    <row r="115" spans="1:15" ht="14.25">
      <c r="A115" s="97">
        <v>2012</v>
      </c>
      <c r="B115" s="98">
        <v>2</v>
      </c>
      <c r="C115" s="98" t="s">
        <v>194</v>
      </c>
      <c r="D115" s="99">
        <v>1002052</v>
      </c>
      <c r="E115" s="99">
        <v>2</v>
      </c>
      <c r="F115" s="99"/>
      <c r="G115" s="99">
        <v>41</v>
      </c>
      <c r="H115" s="99" t="s">
        <v>143</v>
      </c>
      <c r="I115" s="99" t="s">
        <v>213</v>
      </c>
      <c r="J115" s="99" t="s">
        <v>71</v>
      </c>
      <c r="K115" s="99" t="b">
        <v>0</v>
      </c>
      <c r="L115" s="95">
        <v>2012</v>
      </c>
      <c r="M115" s="96">
        <v>0.2123</v>
      </c>
      <c r="N115" s="100">
        <v>40886</v>
      </c>
      <c r="O115" s="100">
        <v>40909</v>
      </c>
    </row>
    <row r="116" spans="1:15" ht="14.25">
      <c r="A116" s="97">
        <v>2012</v>
      </c>
      <c r="B116" s="98">
        <v>2</v>
      </c>
      <c r="C116" s="98" t="s">
        <v>194</v>
      </c>
      <c r="D116" s="99">
        <v>1002052</v>
      </c>
      <c r="E116" s="99">
        <v>2</v>
      </c>
      <c r="F116" s="99"/>
      <c r="G116" s="99">
        <v>41</v>
      </c>
      <c r="H116" s="99" t="s">
        <v>143</v>
      </c>
      <c r="I116" s="99" t="s">
        <v>213</v>
      </c>
      <c r="J116" s="99" t="s">
        <v>71</v>
      </c>
      <c r="K116" s="99" t="b">
        <v>0</v>
      </c>
      <c r="L116" s="95">
        <v>2014</v>
      </c>
      <c r="M116" s="96">
        <v>0.1141</v>
      </c>
      <c r="N116" s="100">
        <v>40886</v>
      </c>
      <c r="O116" s="100">
        <v>40909</v>
      </c>
    </row>
    <row r="117" spans="1:15" ht="14.25">
      <c r="A117" s="97">
        <v>2012</v>
      </c>
      <c r="B117" s="98">
        <v>2</v>
      </c>
      <c r="C117" s="98" t="s">
        <v>194</v>
      </c>
      <c r="D117" s="99">
        <v>1002052</v>
      </c>
      <c r="E117" s="99">
        <v>2</v>
      </c>
      <c r="F117" s="99"/>
      <c r="G117" s="99">
        <v>56</v>
      </c>
      <c r="H117" s="99">
        <v>29</v>
      </c>
      <c r="I117" s="99" t="s">
        <v>214</v>
      </c>
      <c r="J117" s="99" t="s">
        <v>152</v>
      </c>
      <c r="K117" s="99" t="b">
        <v>0</v>
      </c>
      <c r="L117" s="95">
        <v>2012</v>
      </c>
      <c r="M117" s="96">
        <v>2167131.01</v>
      </c>
      <c r="N117" s="100">
        <v>40886</v>
      </c>
      <c r="O117" s="100">
        <v>40909</v>
      </c>
    </row>
    <row r="118" spans="1:15" ht="14.25">
      <c r="A118" s="97">
        <v>2012</v>
      </c>
      <c r="B118" s="98">
        <v>2</v>
      </c>
      <c r="C118" s="98" t="s">
        <v>194</v>
      </c>
      <c r="D118" s="99">
        <v>1002052</v>
      </c>
      <c r="E118" s="99">
        <v>2</v>
      </c>
      <c r="F118" s="99"/>
      <c r="G118" s="99">
        <v>5</v>
      </c>
      <c r="H118" s="99" t="s">
        <v>100</v>
      </c>
      <c r="I118" s="99"/>
      <c r="J118" s="99" t="s">
        <v>101</v>
      </c>
      <c r="K118" s="99" t="b">
        <v>1</v>
      </c>
      <c r="L118" s="95">
        <v>2012</v>
      </c>
      <c r="M118" s="96">
        <v>300000</v>
      </c>
      <c r="N118" s="100">
        <v>40886</v>
      </c>
      <c r="O118" s="100">
        <v>40909</v>
      </c>
    </row>
    <row r="119" spans="1:15" ht="14.25">
      <c r="A119" s="97">
        <v>2012</v>
      </c>
      <c r="B119" s="98">
        <v>2</v>
      </c>
      <c r="C119" s="98" t="s">
        <v>194</v>
      </c>
      <c r="D119" s="99">
        <v>1002052</v>
      </c>
      <c r="E119" s="99">
        <v>2</v>
      </c>
      <c r="F119" s="99"/>
      <c r="G119" s="99">
        <v>42</v>
      </c>
      <c r="H119" s="99">
        <v>19</v>
      </c>
      <c r="I119" s="99" t="s">
        <v>195</v>
      </c>
      <c r="J119" s="99" t="s">
        <v>72</v>
      </c>
      <c r="K119" s="99" t="b">
        <v>1</v>
      </c>
      <c r="L119" s="95">
        <v>2015</v>
      </c>
      <c r="M119" s="96">
        <v>0.0382</v>
      </c>
      <c r="N119" s="100">
        <v>40886</v>
      </c>
      <c r="O119" s="100">
        <v>40909</v>
      </c>
    </row>
    <row r="120" spans="1:15" ht="14.25">
      <c r="A120" s="97">
        <v>2012</v>
      </c>
      <c r="B120" s="98">
        <v>2</v>
      </c>
      <c r="C120" s="98" t="s">
        <v>194</v>
      </c>
      <c r="D120" s="99">
        <v>1002052</v>
      </c>
      <c r="E120" s="99">
        <v>2</v>
      </c>
      <c r="F120" s="99"/>
      <c r="G120" s="99">
        <v>42</v>
      </c>
      <c r="H120" s="99">
        <v>19</v>
      </c>
      <c r="I120" s="99" t="s">
        <v>195</v>
      </c>
      <c r="J120" s="99" t="s">
        <v>72</v>
      </c>
      <c r="K120" s="99" t="b">
        <v>1</v>
      </c>
      <c r="L120" s="95">
        <v>2013</v>
      </c>
      <c r="M120" s="96">
        <v>0.1506</v>
      </c>
      <c r="N120" s="100">
        <v>40886</v>
      </c>
      <c r="O120" s="100">
        <v>40909</v>
      </c>
    </row>
    <row r="121" spans="1:15" ht="14.25">
      <c r="A121" s="97">
        <v>2012</v>
      </c>
      <c r="B121" s="98">
        <v>2</v>
      </c>
      <c r="C121" s="98" t="s">
        <v>194</v>
      </c>
      <c r="D121" s="99">
        <v>1002052</v>
      </c>
      <c r="E121" s="99">
        <v>2</v>
      </c>
      <c r="F121" s="99"/>
      <c r="G121" s="99">
        <v>49</v>
      </c>
      <c r="H121" s="99" t="s">
        <v>148</v>
      </c>
      <c r="I121" s="99" t="s">
        <v>215</v>
      </c>
      <c r="J121" s="99" t="s">
        <v>79</v>
      </c>
      <c r="K121" s="99" t="b">
        <v>0</v>
      </c>
      <c r="L121" s="95">
        <v>2012</v>
      </c>
      <c r="M121" s="96">
        <v>335</v>
      </c>
      <c r="N121" s="100">
        <v>40886</v>
      </c>
      <c r="O121" s="100">
        <v>40909</v>
      </c>
    </row>
    <row r="122" spans="1:15" ht="14.25">
      <c r="A122" s="97">
        <v>2012</v>
      </c>
      <c r="B122" s="98">
        <v>2</v>
      </c>
      <c r="C122" s="98" t="s">
        <v>194</v>
      </c>
      <c r="D122" s="99">
        <v>1002052</v>
      </c>
      <c r="E122" s="99">
        <v>2</v>
      </c>
      <c r="F122" s="99"/>
      <c r="G122" s="99">
        <v>49</v>
      </c>
      <c r="H122" s="99" t="s">
        <v>148</v>
      </c>
      <c r="I122" s="99" t="s">
        <v>215</v>
      </c>
      <c r="J122" s="99" t="s">
        <v>79</v>
      </c>
      <c r="K122" s="99" t="b">
        <v>0</v>
      </c>
      <c r="L122" s="95">
        <v>2015</v>
      </c>
      <c r="M122" s="96">
        <v>2150</v>
      </c>
      <c r="N122" s="100">
        <v>40886</v>
      </c>
      <c r="O122" s="100">
        <v>40909</v>
      </c>
    </row>
    <row r="123" spans="1:15" ht="14.25">
      <c r="A123" s="97">
        <v>2012</v>
      </c>
      <c r="B123" s="98">
        <v>2</v>
      </c>
      <c r="C123" s="98" t="s">
        <v>194</v>
      </c>
      <c r="D123" s="99">
        <v>1002052</v>
      </c>
      <c r="E123" s="99">
        <v>2</v>
      </c>
      <c r="F123" s="99"/>
      <c r="G123" s="99">
        <v>49</v>
      </c>
      <c r="H123" s="99" t="s">
        <v>148</v>
      </c>
      <c r="I123" s="99" t="s">
        <v>215</v>
      </c>
      <c r="J123" s="99" t="s">
        <v>79</v>
      </c>
      <c r="K123" s="99" t="b">
        <v>0</v>
      </c>
      <c r="L123" s="95">
        <v>2014</v>
      </c>
      <c r="M123" s="96">
        <v>1027</v>
      </c>
      <c r="N123" s="100">
        <v>40886</v>
      </c>
      <c r="O123" s="100">
        <v>40909</v>
      </c>
    </row>
    <row r="124" spans="1:15" ht="14.25">
      <c r="A124" s="97">
        <v>2012</v>
      </c>
      <c r="B124" s="98">
        <v>2</v>
      </c>
      <c r="C124" s="98" t="s">
        <v>194</v>
      </c>
      <c r="D124" s="99">
        <v>1002052</v>
      </c>
      <c r="E124" s="99">
        <v>2</v>
      </c>
      <c r="F124" s="99"/>
      <c r="G124" s="99">
        <v>49</v>
      </c>
      <c r="H124" s="99" t="s">
        <v>148</v>
      </c>
      <c r="I124" s="99" t="s">
        <v>215</v>
      </c>
      <c r="J124" s="99" t="s">
        <v>79</v>
      </c>
      <c r="K124" s="99" t="b">
        <v>0</v>
      </c>
      <c r="L124" s="95">
        <v>2013</v>
      </c>
      <c r="M124" s="96">
        <v>518</v>
      </c>
      <c r="N124" s="100">
        <v>40886</v>
      </c>
      <c r="O124" s="100">
        <v>40909</v>
      </c>
    </row>
    <row r="125" spans="1:15" ht="14.25">
      <c r="A125" s="97">
        <v>2012</v>
      </c>
      <c r="B125" s="98">
        <v>2</v>
      </c>
      <c r="C125" s="98" t="s">
        <v>194</v>
      </c>
      <c r="D125" s="99">
        <v>1002052</v>
      </c>
      <c r="E125" s="99">
        <v>2</v>
      </c>
      <c r="F125" s="99"/>
      <c r="G125" s="99">
        <v>29</v>
      </c>
      <c r="H125" s="99" t="s">
        <v>134</v>
      </c>
      <c r="I125" s="99"/>
      <c r="J125" s="99" t="s">
        <v>115</v>
      </c>
      <c r="K125" s="99" t="b">
        <v>0</v>
      </c>
      <c r="L125" s="95">
        <v>2012</v>
      </c>
      <c r="M125" s="96">
        <v>2100000</v>
      </c>
      <c r="N125" s="100">
        <v>40886</v>
      </c>
      <c r="O125" s="100">
        <v>40909</v>
      </c>
    </row>
    <row r="126" spans="1:15" ht="14.25">
      <c r="A126" s="97">
        <v>2012</v>
      </c>
      <c r="B126" s="98">
        <v>2</v>
      </c>
      <c r="C126" s="98" t="s">
        <v>194</v>
      </c>
      <c r="D126" s="99">
        <v>1002052</v>
      </c>
      <c r="E126" s="99">
        <v>2</v>
      </c>
      <c r="F126" s="99"/>
      <c r="G126" s="99">
        <v>8</v>
      </c>
      <c r="H126" s="99" t="s">
        <v>104</v>
      </c>
      <c r="I126" s="99"/>
      <c r="J126" s="99" t="s">
        <v>105</v>
      </c>
      <c r="K126" s="99" t="b">
        <v>0</v>
      </c>
      <c r="L126" s="95">
        <v>2014</v>
      </c>
      <c r="M126" s="96">
        <v>4363544</v>
      </c>
      <c r="N126" s="100">
        <v>40886</v>
      </c>
      <c r="O126" s="100">
        <v>40909</v>
      </c>
    </row>
    <row r="127" spans="1:15" ht="14.25">
      <c r="A127" s="97">
        <v>2012</v>
      </c>
      <c r="B127" s="98">
        <v>2</v>
      </c>
      <c r="C127" s="98" t="s">
        <v>194</v>
      </c>
      <c r="D127" s="99">
        <v>1002052</v>
      </c>
      <c r="E127" s="99">
        <v>2</v>
      </c>
      <c r="F127" s="99"/>
      <c r="G127" s="99">
        <v>8</v>
      </c>
      <c r="H127" s="99" t="s">
        <v>104</v>
      </c>
      <c r="I127" s="99"/>
      <c r="J127" s="99" t="s">
        <v>105</v>
      </c>
      <c r="K127" s="99" t="b">
        <v>0</v>
      </c>
      <c r="L127" s="95">
        <v>2013</v>
      </c>
      <c r="M127" s="96">
        <v>4299058</v>
      </c>
      <c r="N127" s="100">
        <v>40886</v>
      </c>
      <c r="O127" s="100">
        <v>40909</v>
      </c>
    </row>
    <row r="128" spans="1:15" ht="14.25">
      <c r="A128" s="97">
        <v>2012</v>
      </c>
      <c r="B128" s="98">
        <v>2</v>
      </c>
      <c r="C128" s="98" t="s">
        <v>194</v>
      </c>
      <c r="D128" s="99">
        <v>1002052</v>
      </c>
      <c r="E128" s="99">
        <v>2</v>
      </c>
      <c r="F128" s="99"/>
      <c r="G128" s="99">
        <v>8</v>
      </c>
      <c r="H128" s="99" t="s">
        <v>104</v>
      </c>
      <c r="I128" s="99"/>
      <c r="J128" s="99" t="s">
        <v>105</v>
      </c>
      <c r="K128" s="99" t="b">
        <v>0</v>
      </c>
      <c r="L128" s="95">
        <v>2015</v>
      </c>
      <c r="M128" s="96">
        <v>4494450.32</v>
      </c>
      <c r="N128" s="100">
        <v>40886</v>
      </c>
      <c r="O128" s="100">
        <v>40909</v>
      </c>
    </row>
    <row r="129" spans="1:15" ht="14.25">
      <c r="A129" s="97">
        <v>2012</v>
      </c>
      <c r="B129" s="98">
        <v>2</v>
      </c>
      <c r="C129" s="98" t="s">
        <v>194</v>
      </c>
      <c r="D129" s="99">
        <v>1002052</v>
      </c>
      <c r="E129" s="99">
        <v>2</v>
      </c>
      <c r="F129" s="99"/>
      <c r="G129" s="99">
        <v>8</v>
      </c>
      <c r="H129" s="99" t="s">
        <v>104</v>
      </c>
      <c r="I129" s="99"/>
      <c r="J129" s="99" t="s">
        <v>105</v>
      </c>
      <c r="K129" s="99" t="b">
        <v>0</v>
      </c>
      <c r="L129" s="95">
        <v>2012</v>
      </c>
      <c r="M129" s="96">
        <v>4194203</v>
      </c>
      <c r="N129" s="100">
        <v>40886</v>
      </c>
      <c r="O129" s="100">
        <v>40909</v>
      </c>
    </row>
    <row r="130" spans="1:15" ht="14.25">
      <c r="A130" s="97">
        <v>2012</v>
      </c>
      <c r="B130" s="98">
        <v>2</v>
      </c>
      <c r="C130" s="98" t="s">
        <v>194</v>
      </c>
      <c r="D130" s="99">
        <v>1002052</v>
      </c>
      <c r="E130" s="99">
        <v>2</v>
      </c>
      <c r="F130" s="99"/>
      <c r="G130" s="99">
        <v>47</v>
      </c>
      <c r="H130" s="99" t="s">
        <v>147</v>
      </c>
      <c r="I130" s="99" t="s">
        <v>216</v>
      </c>
      <c r="J130" s="99" t="s">
        <v>76</v>
      </c>
      <c r="K130" s="99" t="b">
        <v>0</v>
      </c>
      <c r="L130" s="95">
        <v>2013</v>
      </c>
      <c r="M130" s="96">
        <v>-40</v>
      </c>
      <c r="N130" s="100">
        <v>40886</v>
      </c>
      <c r="O130" s="100">
        <v>40909</v>
      </c>
    </row>
    <row r="131" spans="1:15" ht="14.25">
      <c r="A131" s="97">
        <v>2012</v>
      </c>
      <c r="B131" s="98">
        <v>2</v>
      </c>
      <c r="C131" s="98" t="s">
        <v>194</v>
      </c>
      <c r="D131" s="99">
        <v>1002052</v>
      </c>
      <c r="E131" s="99">
        <v>2</v>
      </c>
      <c r="F131" s="99"/>
      <c r="G131" s="99">
        <v>47</v>
      </c>
      <c r="H131" s="99" t="s">
        <v>147</v>
      </c>
      <c r="I131" s="99" t="s">
        <v>216</v>
      </c>
      <c r="J131" s="99" t="s">
        <v>76</v>
      </c>
      <c r="K131" s="99" t="b">
        <v>0</v>
      </c>
      <c r="L131" s="95">
        <v>2014</v>
      </c>
      <c r="M131" s="96">
        <v>1027</v>
      </c>
      <c r="N131" s="100">
        <v>40886</v>
      </c>
      <c r="O131" s="100">
        <v>40909</v>
      </c>
    </row>
    <row r="132" spans="1:15" ht="14.25">
      <c r="A132" s="97">
        <v>2012</v>
      </c>
      <c r="B132" s="98">
        <v>2</v>
      </c>
      <c r="C132" s="98" t="s">
        <v>194</v>
      </c>
      <c r="D132" s="99">
        <v>1002052</v>
      </c>
      <c r="E132" s="99">
        <v>2</v>
      </c>
      <c r="F132" s="99"/>
      <c r="G132" s="99">
        <v>47</v>
      </c>
      <c r="H132" s="99" t="s">
        <v>147</v>
      </c>
      <c r="I132" s="99" t="s">
        <v>216</v>
      </c>
      <c r="J132" s="99" t="s">
        <v>76</v>
      </c>
      <c r="K132" s="99" t="b">
        <v>0</v>
      </c>
      <c r="L132" s="95">
        <v>2015</v>
      </c>
      <c r="M132" s="96">
        <v>2150</v>
      </c>
      <c r="N132" s="100">
        <v>40886</v>
      </c>
      <c r="O132" s="100">
        <v>40909</v>
      </c>
    </row>
    <row r="133" spans="1:15" ht="14.25">
      <c r="A133" s="97">
        <v>2012</v>
      </c>
      <c r="B133" s="98">
        <v>2</v>
      </c>
      <c r="C133" s="98" t="s">
        <v>194</v>
      </c>
      <c r="D133" s="99">
        <v>1002052</v>
      </c>
      <c r="E133" s="99">
        <v>2</v>
      </c>
      <c r="F133" s="99"/>
      <c r="G133" s="99">
        <v>47</v>
      </c>
      <c r="H133" s="99" t="s">
        <v>147</v>
      </c>
      <c r="I133" s="99" t="s">
        <v>216</v>
      </c>
      <c r="J133" s="99" t="s">
        <v>76</v>
      </c>
      <c r="K133" s="99" t="b">
        <v>0</v>
      </c>
      <c r="L133" s="95">
        <v>2012</v>
      </c>
      <c r="M133" s="96">
        <v>-128</v>
      </c>
      <c r="N133" s="100">
        <v>40886</v>
      </c>
      <c r="O133" s="100">
        <v>40909</v>
      </c>
    </row>
    <row r="134" spans="1:15" ht="14.25">
      <c r="A134" s="97">
        <v>2012</v>
      </c>
      <c r="B134" s="98">
        <v>2</v>
      </c>
      <c r="C134" s="98" t="s">
        <v>194</v>
      </c>
      <c r="D134" s="99">
        <v>1002052</v>
      </c>
      <c r="E134" s="99">
        <v>2</v>
      </c>
      <c r="F134" s="99"/>
      <c r="G134" s="99">
        <v>31</v>
      </c>
      <c r="H134" s="99" t="s">
        <v>135</v>
      </c>
      <c r="I134" s="99"/>
      <c r="J134" s="99" t="s">
        <v>118</v>
      </c>
      <c r="K134" s="99" t="b">
        <v>1</v>
      </c>
      <c r="L134" s="95">
        <v>2012</v>
      </c>
      <c r="M134" s="96">
        <v>761668</v>
      </c>
      <c r="N134" s="100">
        <v>40886</v>
      </c>
      <c r="O134" s="100">
        <v>40909</v>
      </c>
    </row>
    <row r="135" spans="1:15" ht="14.25">
      <c r="A135" s="97">
        <v>2012</v>
      </c>
      <c r="B135" s="98">
        <v>2</v>
      </c>
      <c r="C135" s="98" t="s">
        <v>194</v>
      </c>
      <c r="D135" s="99">
        <v>1002052</v>
      </c>
      <c r="E135" s="99">
        <v>2</v>
      </c>
      <c r="F135" s="99"/>
      <c r="G135" s="99">
        <v>51</v>
      </c>
      <c r="H135" s="99">
        <v>24</v>
      </c>
      <c r="I135" s="99" t="s">
        <v>217</v>
      </c>
      <c r="J135" s="99" t="s">
        <v>150</v>
      </c>
      <c r="K135" s="99" t="b">
        <v>1</v>
      </c>
      <c r="L135" s="95">
        <v>2014</v>
      </c>
      <c r="M135" s="96">
        <v>8999300</v>
      </c>
      <c r="N135" s="100">
        <v>40886</v>
      </c>
      <c r="O135" s="100">
        <v>40909</v>
      </c>
    </row>
    <row r="136" spans="1:15" ht="14.25">
      <c r="A136" s="97">
        <v>2012</v>
      </c>
      <c r="B136" s="98">
        <v>2</v>
      </c>
      <c r="C136" s="98" t="s">
        <v>194</v>
      </c>
      <c r="D136" s="99">
        <v>1002052</v>
      </c>
      <c r="E136" s="99">
        <v>2</v>
      </c>
      <c r="F136" s="99"/>
      <c r="G136" s="99">
        <v>51</v>
      </c>
      <c r="H136" s="99">
        <v>24</v>
      </c>
      <c r="I136" s="99" t="s">
        <v>217</v>
      </c>
      <c r="J136" s="99" t="s">
        <v>150</v>
      </c>
      <c r="K136" s="99" t="b">
        <v>1</v>
      </c>
      <c r="L136" s="95">
        <v>2012</v>
      </c>
      <c r="M136" s="96">
        <v>8713236</v>
      </c>
      <c r="N136" s="100">
        <v>40886</v>
      </c>
      <c r="O136" s="100">
        <v>40909</v>
      </c>
    </row>
    <row r="137" spans="1:15" ht="14.25">
      <c r="A137" s="97">
        <v>2012</v>
      </c>
      <c r="B137" s="98">
        <v>2</v>
      </c>
      <c r="C137" s="98" t="s">
        <v>194</v>
      </c>
      <c r="D137" s="99">
        <v>1002052</v>
      </c>
      <c r="E137" s="99">
        <v>2</v>
      </c>
      <c r="F137" s="99"/>
      <c r="G137" s="99">
        <v>51</v>
      </c>
      <c r="H137" s="99">
        <v>24</v>
      </c>
      <c r="I137" s="99" t="s">
        <v>217</v>
      </c>
      <c r="J137" s="99" t="s">
        <v>150</v>
      </c>
      <c r="K137" s="99" t="b">
        <v>1</v>
      </c>
      <c r="L137" s="95">
        <v>2015</v>
      </c>
      <c r="M137" s="96">
        <v>9269300</v>
      </c>
      <c r="N137" s="100">
        <v>40886</v>
      </c>
      <c r="O137" s="100">
        <v>40909</v>
      </c>
    </row>
    <row r="138" spans="1:15" ht="14.25">
      <c r="A138" s="97">
        <v>2012</v>
      </c>
      <c r="B138" s="98">
        <v>2</v>
      </c>
      <c r="C138" s="98" t="s">
        <v>194</v>
      </c>
      <c r="D138" s="99">
        <v>1002052</v>
      </c>
      <c r="E138" s="99">
        <v>2</v>
      </c>
      <c r="F138" s="99"/>
      <c r="G138" s="99">
        <v>51</v>
      </c>
      <c r="H138" s="99">
        <v>24</v>
      </c>
      <c r="I138" s="99" t="s">
        <v>217</v>
      </c>
      <c r="J138" s="99" t="s">
        <v>150</v>
      </c>
      <c r="K138" s="99" t="b">
        <v>1</v>
      </c>
      <c r="L138" s="95">
        <v>2013</v>
      </c>
      <c r="M138" s="96">
        <v>8866308</v>
      </c>
      <c r="N138" s="100">
        <v>40886</v>
      </c>
      <c r="O138" s="100">
        <v>40909</v>
      </c>
    </row>
    <row r="139" spans="1:15" ht="14.25">
      <c r="A139" s="97">
        <v>2012</v>
      </c>
      <c r="B139" s="98">
        <v>2</v>
      </c>
      <c r="C139" s="98" t="s">
        <v>194</v>
      </c>
      <c r="D139" s="99">
        <v>1002052</v>
      </c>
      <c r="E139" s="99">
        <v>2</v>
      </c>
      <c r="F139" s="99"/>
      <c r="G139" s="99">
        <v>23</v>
      </c>
      <c r="H139" s="99" t="s">
        <v>126</v>
      </c>
      <c r="I139" s="99"/>
      <c r="J139" s="99" t="s">
        <v>127</v>
      </c>
      <c r="K139" s="99" t="b">
        <v>1</v>
      </c>
      <c r="L139" s="95">
        <v>2015</v>
      </c>
      <c r="M139" s="96">
        <v>30000</v>
      </c>
      <c r="N139" s="100">
        <v>40886</v>
      </c>
      <c r="O139" s="100">
        <v>40909</v>
      </c>
    </row>
    <row r="140" spans="1:15" ht="14.25">
      <c r="A140" s="97">
        <v>2012</v>
      </c>
      <c r="B140" s="98">
        <v>2</v>
      </c>
      <c r="C140" s="98" t="s">
        <v>194</v>
      </c>
      <c r="D140" s="99">
        <v>1002052</v>
      </c>
      <c r="E140" s="99">
        <v>2</v>
      </c>
      <c r="F140" s="99"/>
      <c r="G140" s="99">
        <v>23</v>
      </c>
      <c r="H140" s="99" t="s">
        <v>126</v>
      </c>
      <c r="I140" s="99"/>
      <c r="J140" s="99" t="s">
        <v>127</v>
      </c>
      <c r="K140" s="99" t="b">
        <v>1</v>
      </c>
      <c r="L140" s="95">
        <v>2014</v>
      </c>
      <c r="M140" s="96">
        <v>80000</v>
      </c>
      <c r="N140" s="100">
        <v>40886</v>
      </c>
      <c r="O140" s="100">
        <v>40909</v>
      </c>
    </row>
    <row r="141" spans="1:15" ht="14.25">
      <c r="A141" s="97">
        <v>2012</v>
      </c>
      <c r="B141" s="98">
        <v>2</v>
      </c>
      <c r="C141" s="98" t="s">
        <v>194</v>
      </c>
      <c r="D141" s="99">
        <v>1002052</v>
      </c>
      <c r="E141" s="99">
        <v>2</v>
      </c>
      <c r="F141" s="99"/>
      <c r="G141" s="99">
        <v>23</v>
      </c>
      <c r="H141" s="99" t="s">
        <v>126</v>
      </c>
      <c r="I141" s="99"/>
      <c r="J141" s="99" t="s">
        <v>127</v>
      </c>
      <c r="K141" s="99" t="b">
        <v>1</v>
      </c>
      <c r="L141" s="95">
        <v>2013</v>
      </c>
      <c r="M141" s="96">
        <v>160000</v>
      </c>
      <c r="N141" s="100">
        <v>40886</v>
      </c>
      <c r="O141" s="100">
        <v>40909</v>
      </c>
    </row>
    <row r="142" spans="1:15" ht="14.25">
      <c r="A142" s="97">
        <v>2012</v>
      </c>
      <c r="B142" s="98">
        <v>2</v>
      </c>
      <c r="C142" s="98" t="s">
        <v>194</v>
      </c>
      <c r="D142" s="99">
        <v>1002052</v>
      </c>
      <c r="E142" s="99">
        <v>2</v>
      </c>
      <c r="F142" s="99"/>
      <c r="G142" s="99">
        <v>23</v>
      </c>
      <c r="H142" s="99" t="s">
        <v>126</v>
      </c>
      <c r="I142" s="99"/>
      <c r="J142" s="99" t="s">
        <v>127</v>
      </c>
      <c r="K142" s="99" t="b">
        <v>1</v>
      </c>
      <c r="L142" s="95">
        <v>2012</v>
      </c>
      <c r="M142" s="96">
        <v>110000</v>
      </c>
      <c r="N142" s="100">
        <v>40886</v>
      </c>
      <c r="O142" s="100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Właściciel</cp:lastModifiedBy>
  <cp:lastPrinted>2011-12-27T11:48:06Z</cp:lastPrinted>
  <dcterms:created xsi:type="dcterms:W3CDTF">2010-09-17T02:30:46Z</dcterms:created>
  <dcterms:modified xsi:type="dcterms:W3CDTF">2011-12-27T11:50:26Z</dcterms:modified>
  <cp:category/>
  <cp:version/>
  <cp:contentType/>
  <cp:contentStatus/>
</cp:coreProperties>
</file>